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Ptr\Bydleni\KurimPodZarubou\Projekt\07TZB_energie\"/>
    </mc:Choice>
  </mc:AlternateContent>
  <bookViews>
    <workbookView xWindow="120" yWindow="45" windowWidth="28620" windowHeight="14700" activeTab="4"/>
  </bookViews>
  <sheets>
    <sheet name="01Baseline" sheetId="1" r:id="rId1"/>
    <sheet name="02Optimalizace" sheetId="4" r:id="rId2"/>
    <sheet name="03Optimalizace" sheetId="5" r:id="rId3"/>
    <sheet name="04Optimalizace" sheetId="6" r:id="rId4"/>
    <sheet name="05Optimalizace" sheetId="7" r:id="rId5"/>
    <sheet name="Sheet2" sheetId="2" r:id="rId6"/>
    <sheet name="Sheet3" sheetId="3" r:id="rId7"/>
  </sheets>
  <definedNames>
    <definedName name="_xlnm.Print_Area" localSheetId="0">'01Baseline'!$A$2:$W$45</definedName>
    <definedName name="_xlnm.Print_Area" localSheetId="1">'02Optimalizace'!$A$2:$W$45</definedName>
    <definedName name="_xlnm.Print_Area" localSheetId="2">'03Optimalizace'!$A$2:$W$45</definedName>
    <definedName name="_xlnm.Print_Area" localSheetId="3">'04Optimalizace'!$A$2:$W$45</definedName>
    <definedName name="_xlnm.Print_Area" localSheetId="4">'05Optimalizace'!$A$2:$W$46</definedName>
  </definedNames>
  <calcPr calcId="152511"/>
</workbook>
</file>

<file path=xl/calcChain.xml><?xml version="1.0" encoding="utf-8"?>
<calcChain xmlns="http://schemas.openxmlformats.org/spreadsheetml/2006/main">
  <c r="J46" i="7" l="1"/>
  <c r="J45" i="7"/>
  <c r="E29" i="7"/>
  <c r="L37" i="7"/>
  <c r="K37" i="7"/>
  <c r="G37" i="7"/>
  <c r="I37" i="7" s="1"/>
  <c r="J37" i="7" s="1"/>
  <c r="E37" i="7"/>
  <c r="I60" i="7"/>
  <c r="H60" i="7"/>
  <c r="I59" i="7"/>
  <c r="H59" i="7"/>
  <c r="I56" i="7"/>
  <c r="I55" i="7"/>
  <c r="I54" i="7"/>
  <c r="I53" i="7"/>
  <c r="I52" i="7"/>
  <c r="H52" i="7"/>
  <c r="I51" i="7"/>
  <c r="H51" i="7"/>
  <c r="I50" i="7"/>
  <c r="H50" i="7"/>
  <c r="I49" i="7"/>
  <c r="I48" i="7"/>
  <c r="H48" i="7"/>
  <c r="D45" i="7"/>
  <c r="I39" i="7"/>
  <c r="L36" i="7"/>
  <c r="G36" i="7"/>
  <c r="I36" i="7" s="1"/>
  <c r="G35" i="7"/>
  <c r="I35" i="7" s="1"/>
  <c r="J35" i="7" s="1"/>
  <c r="E35" i="7"/>
  <c r="G34" i="7"/>
  <c r="I34" i="7" s="1"/>
  <c r="J34" i="7" s="1"/>
  <c r="E34" i="7"/>
  <c r="L34" i="7" s="1"/>
  <c r="G33" i="7"/>
  <c r="I33" i="7" s="1"/>
  <c r="C33" i="7"/>
  <c r="C36" i="7" s="1"/>
  <c r="G32" i="7"/>
  <c r="I32" i="7" s="1"/>
  <c r="J32" i="7" s="1"/>
  <c r="E32" i="7"/>
  <c r="L32" i="7" s="1"/>
  <c r="G31" i="7"/>
  <c r="I31" i="7" s="1"/>
  <c r="C31" i="7"/>
  <c r="E31" i="7" s="1"/>
  <c r="G30" i="7"/>
  <c r="I30" i="7" s="1"/>
  <c r="C30" i="7"/>
  <c r="E30" i="7" s="1"/>
  <c r="G29" i="7"/>
  <c r="I29" i="7" s="1"/>
  <c r="C29" i="7"/>
  <c r="D36" i="7" s="1"/>
  <c r="G26" i="7"/>
  <c r="I26" i="7" s="1"/>
  <c r="J26" i="7" s="1"/>
  <c r="E26" i="7"/>
  <c r="L26" i="7" s="1"/>
  <c r="G25" i="7"/>
  <c r="I25" i="7" s="1"/>
  <c r="G24" i="7"/>
  <c r="I24" i="7" s="1"/>
  <c r="C24" i="7"/>
  <c r="E24" i="7" s="1"/>
  <c r="G23" i="7"/>
  <c r="I23" i="7" s="1"/>
  <c r="J23" i="7" s="1"/>
  <c r="E23" i="7"/>
  <c r="L23" i="7" s="1"/>
  <c r="G22" i="7"/>
  <c r="I22" i="7" s="1"/>
  <c r="C22" i="7"/>
  <c r="G21" i="7"/>
  <c r="I21" i="7" s="1"/>
  <c r="J21" i="7" s="1"/>
  <c r="E21" i="7"/>
  <c r="L21" i="7" s="1"/>
  <c r="G20" i="7"/>
  <c r="I20" i="7" s="1"/>
  <c r="J20" i="7" s="1"/>
  <c r="E20" i="7"/>
  <c r="L20" i="7" s="1"/>
  <c r="G19" i="7"/>
  <c r="I19" i="7" s="1"/>
  <c r="J19" i="7" s="1"/>
  <c r="E19" i="7"/>
  <c r="L19" i="7" s="1"/>
  <c r="G18" i="7"/>
  <c r="I18" i="7" s="1"/>
  <c r="E18" i="7"/>
  <c r="G17" i="7"/>
  <c r="I17" i="7" s="1"/>
  <c r="J17" i="7" s="1"/>
  <c r="E17" i="7"/>
  <c r="L17" i="7" s="1"/>
  <c r="G16" i="7"/>
  <c r="I16" i="7" s="1"/>
  <c r="C16" i="7"/>
  <c r="E16" i="7" s="1"/>
  <c r="G15" i="7"/>
  <c r="I15" i="7" s="1"/>
  <c r="C15" i="7"/>
  <c r="E15" i="7" s="1"/>
  <c r="G14" i="7"/>
  <c r="I14" i="7" s="1"/>
  <c r="J14" i="7" s="1"/>
  <c r="E14" i="7"/>
  <c r="L14" i="7" s="1"/>
  <c r="G13" i="7"/>
  <c r="I13" i="7" s="1"/>
  <c r="J13" i="7" s="1"/>
  <c r="E13" i="7"/>
  <c r="L13" i="7" s="1"/>
  <c r="G12" i="7"/>
  <c r="I12" i="7" s="1"/>
  <c r="J12" i="7" s="1"/>
  <c r="E12" i="7"/>
  <c r="L12" i="7" s="1"/>
  <c r="G9" i="7"/>
  <c r="I9" i="7" s="1"/>
  <c r="G8" i="7"/>
  <c r="I8" i="7" s="1"/>
  <c r="G7" i="7"/>
  <c r="I7" i="7" s="1"/>
  <c r="C7" i="7"/>
  <c r="E7" i="7" s="1"/>
  <c r="G6" i="7"/>
  <c r="I6" i="7" s="1"/>
  <c r="J6" i="7" s="1"/>
  <c r="E6" i="7"/>
  <c r="L6" i="7" s="1"/>
  <c r="G5" i="7"/>
  <c r="I5" i="7" s="1"/>
  <c r="C5" i="7"/>
  <c r="C8" i="7" s="1"/>
  <c r="G4" i="7"/>
  <c r="I4" i="7" s="1"/>
  <c r="C4" i="7"/>
  <c r="D8" i="7" s="1"/>
  <c r="D9" i="7" s="1"/>
  <c r="J44" i="6"/>
  <c r="E26" i="6"/>
  <c r="I59" i="6"/>
  <c r="H59" i="6"/>
  <c r="I58" i="6"/>
  <c r="H58" i="6"/>
  <c r="I55" i="6"/>
  <c r="I54" i="6"/>
  <c r="I53" i="6"/>
  <c r="I52" i="6"/>
  <c r="I51" i="6"/>
  <c r="H51" i="6"/>
  <c r="I50" i="6"/>
  <c r="H50" i="6"/>
  <c r="I49" i="6"/>
  <c r="H49" i="6"/>
  <c r="I48" i="6"/>
  <c r="I47" i="6"/>
  <c r="H47" i="6"/>
  <c r="D44" i="6"/>
  <c r="I38" i="6"/>
  <c r="L36" i="6"/>
  <c r="G36" i="6"/>
  <c r="I36" i="6" s="1"/>
  <c r="G35" i="6"/>
  <c r="I35" i="6" s="1"/>
  <c r="J35" i="6" s="1"/>
  <c r="E35" i="6"/>
  <c r="G34" i="6"/>
  <c r="I34" i="6" s="1"/>
  <c r="J34" i="6" s="1"/>
  <c r="E34" i="6"/>
  <c r="L34" i="6" s="1"/>
  <c r="G33" i="6"/>
  <c r="I33" i="6" s="1"/>
  <c r="C33" i="6"/>
  <c r="C36" i="6" s="1"/>
  <c r="G32" i="6"/>
  <c r="I32" i="6" s="1"/>
  <c r="J32" i="6" s="1"/>
  <c r="E32" i="6"/>
  <c r="L32" i="6" s="1"/>
  <c r="G31" i="6"/>
  <c r="I31" i="6" s="1"/>
  <c r="C31" i="6"/>
  <c r="E31" i="6" s="1"/>
  <c r="G30" i="6"/>
  <c r="I30" i="6" s="1"/>
  <c r="C30" i="6"/>
  <c r="E30" i="6" s="1"/>
  <c r="G29" i="6"/>
  <c r="I29" i="6" s="1"/>
  <c r="C29" i="6"/>
  <c r="D36" i="6" s="1"/>
  <c r="G26" i="6"/>
  <c r="I26" i="6" s="1"/>
  <c r="J26" i="6" s="1"/>
  <c r="L26" i="6"/>
  <c r="G25" i="6"/>
  <c r="I25" i="6" s="1"/>
  <c r="G24" i="6"/>
  <c r="I24" i="6" s="1"/>
  <c r="C24" i="6"/>
  <c r="E24" i="6" s="1"/>
  <c r="G23" i="6"/>
  <c r="I23" i="6" s="1"/>
  <c r="J23" i="6" s="1"/>
  <c r="L23" i="6"/>
  <c r="G22" i="6"/>
  <c r="I22" i="6" s="1"/>
  <c r="C22" i="6"/>
  <c r="G21" i="6"/>
  <c r="I21" i="6" s="1"/>
  <c r="J21" i="6" s="1"/>
  <c r="L21" i="6"/>
  <c r="G20" i="6"/>
  <c r="I20" i="6" s="1"/>
  <c r="J20" i="6" s="1"/>
  <c r="L20" i="6"/>
  <c r="G19" i="6"/>
  <c r="I19" i="6" s="1"/>
  <c r="J19" i="6" s="1"/>
  <c r="L19" i="6"/>
  <c r="G18" i="6"/>
  <c r="I18" i="6" s="1"/>
  <c r="G17" i="6"/>
  <c r="I17" i="6" s="1"/>
  <c r="J17" i="6" s="1"/>
  <c r="E17" i="6"/>
  <c r="L17" i="6" s="1"/>
  <c r="G16" i="6"/>
  <c r="I16" i="6" s="1"/>
  <c r="C16" i="6"/>
  <c r="E16" i="6" s="1"/>
  <c r="G15" i="6"/>
  <c r="I15" i="6" s="1"/>
  <c r="C15" i="6"/>
  <c r="E15" i="6" s="1"/>
  <c r="G14" i="6"/>
  <c r="I14" i="6" s="1"/>
  <c r="J14" i="6" s="1"/>
  <c r="E14" i="6"/>
  <c r="L14" i="6" s="1"/>
  <c r="G13" i="6"/>
  <c r="I13" i="6" s="1"/>
  <c r="J13" i="6" s="1"/>
  <c r="E13" i="6"/>
  <c r="L13" i="6" s="1"/>
  <c r="G12" i="6"/>
  <c r="I12" i="6" s="1"/>
  <c r="J12" i="6" s="1"/>
  <c r="E12" i="6"/>
  <c r="L12" i="6" s="1"/>
  <c r="G9" i="6"/>
  <c r="I9" i="6" s="1"/>
  <c r="G8" i="6"/>
  <c r="I8" i="6" s="1"/>
  <c r="G7" i="6"/>
  <c r="I7" i="6" s="1"/>
  <c r="C7" i="6"/>
  <c r="E7" i="6" s="1"/>
  <c r="G6" i="6"/>
  <c r="I6" i="6" s="1"/>
  <c r="J6" i="6" s="1"/>
  <c r="E6" i="6"/>
  <c r="L6" i="6" s="1"/>
  <c r="G5" i="6"/>
  <c r="I5" i="6" s="1"/>
  <c r="C5" i="6"/>
  <c r="C8" i="6" s="1"/>
  <c r="G4" i="6"/>
  <c r="I4" i="6" s="1"/>
  <c r="C4" i="6"/>
  <c r="D8" i="6" s="1"/>
  <c r="D9" i="6" s="1"/>
  <c r="C9" i="7" l="1"/>
  <c r="E9" i="7" s="1"/>
  <c r="E8" i="7"/>
  <c r="L7" i="7"/>
  <c r="K7" i="7"/>
  <c r="J7" i="7"/>
  <c r="J8" i="7"/>
  <c r="J9" i="7"/>
  <c r="L15" i="7"/>
  <c r="K15" i="7"/>
  <c r="J15" i="7"/>
  <c r="L16" i="7"/>
  <c r="K16" i="7"/>
  <c r="J16" i="7"/>
  <c r="E4" i="7"/>
  <c r="E5" i="7"/>
  <c r="K6" i="7"/>
  <c r="K12" i="7"/>
  <c r="L18" i="7"/>
  <c r="K18" i="7"/>
  <c r="J18" i="7"/>
  <c r="E25" i="7"/>
  <c r="L24" i="7"/>
  <c r="K24" i="7"/>
  <c r="J24" i="7"/>
  <c r="J25" i="7"/>
  <c r="L30" i="7"/>
  <c r="K30" i="7"/>
  <c r="J30" i="7"/>
  <c r="L31" i="7"/>
  <c r="K31" i="7"/>
  <c r="J31" i="7"/>
  <c r="E36" i="7"/>
  <c r="K36" i="7" s="1"/>
  <c r="H49" i="7"/>
  <c r="J36" i="7"/>
  <c r="K20" i="7"/>
  <c r="E22" i="7"/>
  <c r="K26" i="7"/>
  <c r="E33" i="7"/>
  <c r="L35" i="7"/>
  <c r="C9" i="6"/>
  <c r="E9" i="6" s="1"/>
  <c r="E8" i="6"/>
  <c r="L7" i="6"/>
  <c r="K7" i="6"/>
  <c r="J7" i="6"/>
  <c r="J8" i="6"/>
  <c r="J9" i="6"/>
  <c r="L15" i="6"/>
  <c r="K15" i="6"/>
  <c r="J15" i="6"/>
  <c r="L16" i="6"/>
  <c r="K16" i="6"/>
  <c r="J16" i="6"/>
  <c r="E4" i="6"/>
  <c r="E5" i="6"/>
  <c r="K6" i="6"/>
  <c r="K12" i="6"/>
  <c r="L18" i="6"/>
  <c r="K18" i="6"/>
  <c r="J18" i="6"/>
  <c r="E25" i="6"/>
  <c r="L24" i="6"/>
  <c r="K24" i="6"/>
  <c r="J24" i="6"/>
  <c r="J25" i="6"/>
  <c r="L30" i="6"/>
  <c r="K30" i="6"/>
  <c r="J30" i="6"/>
  <c r="L31" i="6"/>
  <c r="K31" i="6"/>
  <c r="J31" i="6"/>
  <c r="E36" i="6"/>
  <c r="K36" i="6" s="1"/>
  <c r="H48" i="6"/>
  <c r="J36" i="6"/>
  <c r="K20" i="6"/>
  <c r="E22" i="6"/>
  <c r="K26" i="6"/>
  <c r="E29" i="6"/>
  <c r="E33" i="6"/>
  <c r="L35" i="6"/>
  <c r="J44" i="5"/>
  <c r="G40" i="5"/>
  <c r="G40" i="4"/>
  <c r="J44" i="1"/>
  <c r="G40" i="1"/>
  <c r="I55" i="5"/>
  <c r="I48" i="5"/>
  <c r="H48" i="5"/>
  <c r="I48" i="4"/>
  <c r="H48" i="4"/>
  <c r="L33" i="7" l="1"/>
  <c r="K33" i="7"/>
  <c r="L29" i="7"/>
  <c r="K29" i="7"/>
  <c r="L22" i="7"/>
  <c r="K22" i="7"/>
  <c r="K35" i="7"/>
  <c r="K34" i="7"/>
  <c r="K32" i="7"/>
  <c r="K23" i="7"/>
  <c r="K21" i="7"/>
  <c r="K19" i="7"/>
  <c r="K17" i="7"/>
  <c r="K14" i="7"/>
  <c r="K13" i="7"/>
  <c r="J33" i="7"/>
  <c r="J29" i="7"/>
  <c r="J22" i="7"/>
  <c r="L25" i="7"/>
  <c r="K25" i="7"/>
  <c r="L5" i="7"/>
  <c r="K5" i="7"/>
  <c r="E39" i="7"/>
  <c r="J39" i="7" s="1"/>
  <c r="L4" i="7"/>
  <c r="K4" i="7"/>
  <c r="J5" i="7"/>
  <c r="L8" i="7"/>
  <c r="K8" i="7"/>
  <c r="L9" i="7"/>
  <c r="K9" i="7"/>
  <c r="J4" i="7"/>
  <c r="J41" i="7" s="1"/>
  <c r="L33" i="6"/>
  <c r="K33" i="6"/>
  <c r="L29" i="6"/>
  <c r="K29" i="6"/>
  <c r="L22" i="6"/>
  <c r="K22" i="6"/>
  <c r="K35" i="6"/>
  <c r="K34" i="6"/>
  <c r="K32" i="6"/>
  <c r="K23" i="6"/>
  <c r="K21" i="6"/>
  <c r="K19" i="6"/>
  <c r="K17" i="6"/>
  <c r="K14" i="6"/>
  <c r="K13" i="6"/>
  <c r="J33" i="6"/>
  <c r="J29" i="6"/>
  <c r="J22" i="6"/>
  <c r="L25" i="6"/>
  <c r="K25" i="6"/>
  <c r="L5" i="6"/>
  <c r="K5" i="6"/>
  <c r="E38" i="6"/>
  <c r="J38" i="6" s="1"/>
  <c r="L4" i="6"/>
  <c r="K4" i="6"/>
  <c r="J5" i="6"/>
  <c r="L8" i="6"/>
  <c r="K8" i="6"/>
  <c r="L9" i="6"/>
  <c r="K9" i="6"/>
  <c r="J4" i="6"/>
  <c r="J40" i="6" s="1"/>
  <c r="I54" i="5"/>
  <c r="I53" i="5"/>
  <c r="I47" i="5"/>
  <c r="I59" i="5"/>
  <c r="H59" i="5"/>
  <c r="I58" i="5"/>
  <c r="H58" i="5"/>
  <c r="I52" i="5"/>
  <c r="I51" i="5"/>
  <c r="H51" i="5"/>
  <c r="I50" i="5"/>
  <c r="H50" i="5"/>
  <c r="I49" i="5"/>
  <c r="H49" i="5"/>
  <c r="H47" i="5"/>
  <c r="D44" i="5"/>
  <c r="I38" i="5"/>
  <c r="L36" i="5"/>
  <c r="G36" i="5"/>
  <c r="I36" i="5" s="1"/>
  <c r="G35" i="5"/>
  <c r="I35" i="5" s="1"/>
  <c r="J35" i="5" s="1"/>
  <c r="E35" i="5"/>
  <c r="G34" i="5"/>
  <c r="I34" i="5" s="1"/>
  <c r="J34" i="5" s="1"/>
  <c r="E34" i="5"/>
  <c r="L34" i="5" s="1"/>
  <c r="G33" i="5"/>
  <c r="I33" i="5" s="1"/>
  <c r="C33" i="5"/>
  <c r="C36" i="5" s="1"/>
  <c r="G32" i="5"/>
  <c r="I32" i="5" s="1"/>
  <c r="J32" i="5" s="1"/>
  <c r="E32" i="5"/>
  <c r="L32" i="5" s="1"/>
  <c r="G31" i="5"/>
  <c r="I31" i="5" s="1"/>
  <c r="C31" i="5"/>
  <c r="E31" i="5" s="1"/>
  <c r="G30" i="5"/>
  <c r="I30" i="5" s="1"/>
  <c r="C30" i="5"/>
  <c r="E30" i="5" s="1"/>
  <c r="G29" i="5"/>
  <c r="I29" i="5" s="1"/>
  <c r="C29" i="5"/>
  <c r="D36" i="5" s="1"/>
  <c r="G26" i="5"/>
  <c r="I26" i="5" s="1"/>
  <c r="J26" i="5" s="1"/>
  <c r="E26" i="5"/>
  <c r="L26" i="5" s="1"/>
  <c r="G25" i="5"/>
  <c r="I25" i="5" s="1"/>
  <c r="G24" i="5"/>
  <c r="I24" i="5" s="1"/>
  <c r="C24" i="5"/>
  <c r="E24" i="5" s="1"/>
  <c r="G23" i="5"/>
  <c r="I23" i="5" s="1"/>
  <c r="J23" i="5" s="1"/>
  <c r="E23" i="5"/>
  <c r="L23" i="5" s="1"/>
  <c r="G22" i="5"/>
  <c r="I22" i="5" s="1"/>
  <c r="C22" i="5"/>
  <c r="G21" i="5"/>
  <c r="I21" i="5" s="1"/>
  <c r="J21" i="5" s="1"/>
  <c r="E21" i="5"/>
  <c r="L21" i="5" s="1"/>
  <c r="G20" i="5"/>
  <c r="I20" i="5" s="1"/>
  <c r="J20" i="5" s="1"/>
  <c r="E20" i="5"/>
  <c r="L20" i="5" s="1"/>
  <c r="G19" i="5"/>
  <c r="I19" i="5" s="1"/>
  <c r="J19" i="5" s="1"/>
  <c r="E19" i="5"/>
  <c r="L19" i="5" s="1"/>
  <c r="G18" i="5"/>
  <c r="I18" i="5" s="1"/>
  <c r="E18" i="5"/>
  <c r="G17" i="5"/>
  <c r="I17" i="5" s="1"/>
  <c r="J17" i="5" s="1"/>
  <c r="E17" i="5"/>
  <c r="L17" i="5" s="1"/>
  <c r="G16" i="5"/>
  <c r="I16" i="5" s="1"/>
  <c r="C16" i="5"/>
  <c r="E16" i="5" s="1"/>
  <c r="G15" i="5"/>
  <c r="I15" i="5" s="1"/>
  <c r="C15" i="5"/>
  <c r="E15" i="5" s="1"/>
  <c r="G14" i="5"/>
  <c r="I14" i="5" s="1"/>
  <c r="J14" i="5" s="1"/>
  <c r="E14" i="5"/>
  <c r="L14" i="5" s="1"/>
  <c r="G13" i="5"/>
  <c r="I13" i="5" s="1"/>
  <c r="J13" i="5" s="1"/>
  <c r="E13" i="5"/>
  <c r="L13" i="5" s="1"/>
  <c r="G12" i="5"/>
  <c r="I12" i="5" s="1"/>
  <c r="J12" i="5" s="1"/>
  <c r="E12" i="5"/>
  <c r="L12" i="5" s="1"/>
  <c r="G9" i="5"/>
  <c r="I9" i="5" s="1"/>
  <c r="G8" i="5"/>
  <c r="I8" i="5" s="1"/>
  <c r="G7" i="5"/>
  <c r="I7" i="5" s="1"/>
  <c r="C7" i="5"/>
  <c r="E7" i="5" s="1"/>
  <c r="G6" i="5"/>
  <c r="I6" i="5" s="1"/>
  <c r="J6" i="5" s="1"/>
  <c r="E6" i="5"/>
  <c r="L6" i="5" s="1"/>
  <c r="G5" i="5"/>
  <c r="I5" i="5" s="1"/>
  <c r="C5" i="5"/>
  <c r="C8" i="5" s="1"/>
  <c r="G4" i="5"/>
  <c r="C4" i="5"/>
  <c r="D8" i="5" s="1"/>
  <c r="D9" i="5" s="1"/>
  <c r="H51" i="4"/>
  <c r="H49" i="4"/>
  <c r="I59" i="4"/>
  <c r="H59" i="4"/>
  <c r="I58" i="4"/>
  <c r="H58" i="4"/>
  <c r="I52" i="4"/>
  <c r="I51" i="4"/>
  <c r="I50" i="4"/>
  <c r="H50" i="4"/>
  <c r="I49" i="4"/>
  <c r="I47" i="4"/>
  <c r="H47" i="4"/>
  <c r="D44" i="4"/>
  <c r="I38" i="4"/>
  <c r="L36" i="4"/>
  <c r="G36" i="4"/>
  <c r="I36" i="4" s="1"/>
  <c r="G35" i="4"/>
  <c r="I35" i="4" s="1"/>
  <c r="J35" i="4" s="1"/>
  <c r="E35" i="4"/>
  <c r="G34" i="4"/>
  <c r="I34" i="4" s="1"/>
  <c r="J34" i="4" s="1"/>
  <c r="E34" i="4"/>
  <c r="L34" i="4" s="1"/>
  <c r="G33" i="4"/>
  <c r="I33" i="4" s="1"/>
  <c r="C33" i="4"/>
  <c r="C36" i="4" s="1"/>
  <c r="G32" i="4"/>
  <c r="I32" i="4" s="1"/>
  <c r="J32" i="4" s="1"/>
  <c r="E32" i="4"/>
  <c r="L32" i="4" s="1"/>
  <c r="G31" i="4"/>
  <c r="I31" i="4" s="1"/>
  <c r="C31" i="4"/>
  <c r="E31" i="4" s="1"/>
  <c r="G30" i="4"/>
  <c r="I30" i="4" s="1"/>
  <c r="C30" i="4"/>
  <c r="E30" i="4" s="1"/>
  <c r="G29" i="4"/>
  <c r="I29" i="4" s="1"/>
  <c r="C29" i="4"/>
  <c r="D36" i="4" s="1"/>
  <c r="G26" i="4"/>
  <c r="I26" i="4" s="1"/>
  <c r="J26" i="4" s="1"/>
  <c r="E26" i="4"/>
  <c r="L26" i="4" s="1"/>
  <c r="G25" i="4"/>
  <c r="I25" i="4" s="1"/>
  <c r="G24" i="4"/>
  <c r="I24" i="4" s="1"/>
  <c r="C24" i="4"/>
  <c r="E24" i="4" s="1"/>
  <c r="G23" i="4"/>
  <c r="I23" i="4" s="1"/>
  <c r="J23" i="4" s="1"/>
  <c r="E23" i="4"/>
  <c r="L23" i="4" s="1"/>
  <c r="G22" i="4"/>
  <c r="I22" i="4" s="1"/>
  <c r="C22" i="4"/>
  <c r="G21" i="4"/>
  <c r="I21" i="4" s="1"/>
  <c r="J21" i="4" s="1"/>
  <c r="E21" i="4"/>
  <c r="L21" i="4" s="1"/>
  <c r="G20" i="4"/>
  <c r="I20" i="4" s="1"/>
  <c r="J20" i="4" s="1"/>
  <c r="E20" i="4"/>
  <c r="L20" i="4" s="1"/>
  <c r="G19" i="4"/>
  <c r="I19" i="4" s="1"/>
  <c r="J19" i="4" s="1"/>
  <c r="E19" i="4"/>
  <c r="L19" i="4" s="1"/>
  <c r="G18" i="4"/>
  <c r="I18" i="4" s="1"/>
  <c r="E18" i="4"/>
  <c r="G17" i="4"/>
  <c r="I17" i="4" s="1"/>
  <c r="J17" i="4" s="1"/>
  <c r="E17" i="4"/>
  <c r="L17" i="4" s="1"/>
  <c r="G16" i="4"/>
  <c r="I16" i="4" s="1"/>
  <c r="C16" i="4"/>
  <c r="E16" i="4" s="1"/>
  <c r="G15" i="4"/>
  <c r="I15" i="4" s="1"/>
  <c r="C15" i="4"/>
  <c r="E15" i="4" s="1"/>
  <c r="G14" i="4"/>
  <c r="I14" i="4" s="1"/>
  <c r="J14" i="4" s="1"/>
  <c r="E14" i="4"/>
  <c r="L14" i="4" s="1"/>
  <c r="G13" i="4"/>
  <c r="I13" i="4" s="1"/>
  <c r="J13" i="4" s="1"/>
  <c r="E13" i="4"/>
  <c r="L13" i="4" s="1"/>
  <c r="G12" i="4"/>
  <c r="I12" i="4" s="1"/>
  <c r="J12" i="4" s="1"/>
  <c r="E12" i="4"/>
  <c r="L12" i="4" s="1"/>
  <c r="G9" i="4"/>
  <c r="I9" i="4" s="1"/>
  <c r="G8" i="4"/>
  <c r="I8" i="4" s="1"/>
  <c r="G7" i="4"/>
  <c r="I7" i="4" s="1"/>
  <c r="C7" i="4"/>
  <c r="E7" i="4" s="1"/>
  <c r="G6" i="4"/>
  <c r="I6" i="4" s="1"/>
  <c r="J6" i="4" s="1"/>
  <c r="E6" i="4"/>
  <c r="L6" i="4" s="1"/>
  <c r="G5" i="4"/>
  <c r="I5" i="4" s="1"/>
  <c r="C5" i="4"/>
  <c r="C8" i="4" s="1"/>
  <c r="G4" i="4"/>
  <c r="C4" i="4"/>
  <c r="D8" i="4" s="1"/>
  <c r="D9" i="4" s="1"/>
  <c r="L36" i="1"/>
  <c r="L35" i="1"/>
  <c r="L34" i="1"/>
  <c r="L33" i="1"/>
  <c r="L32" i="1"/>
  <c r="L31" i="1"/>
  <c r="L30" i="1"/>
  <c r="L29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9" i="1"/>
  <c r="L8" i="1"/>
  <c r="L7" i="1"/>
  <c r="L6" i="1"/>
  <c r="L5" i="1"/>
  <c r="L4" i="1"/>
  <c r="L40" i="1" s="1"/>
  <c r="K36" i="1"/>
  <c r="K35" i="1"/>
  <c r="K34" i="1"/>
  <c r="K33" i="1"/>
  <c r="K32" i="1"/>
  <c r="K31" i="1"/>
  <c r="K30" i="1"/>
  <c r="K29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9" i="1"/>
  <c r="K8" i="1"/>
  <c r="K7" i="1"/>
  <c r="K6" i="1"/>
  <c r="K5" i="1"/>
  <c r="K4" i="1"/>
  <c r="I59" i="1"/>
  <c r="I58" i="1"/>
  <c r="I52" i="1"/>
  <c r="I51" i="1"/>
  <c r="I50" i="1"/>
  <c r="I49" i="1"/>
  <c r="I48" i="1"/>
  <c r="I47" i="1"/>
  <c r="K40" i="1"/>
  <c r="G36" i="1"/>
  <c r="G30" i="1"/>
  <c r="G26" i="1"/>
  <c r="G25" i="1"/>
  <c r="G24" i="1"/>
  <c r="G22" i="1"/>
  <c r="G35" i="1"/>
  <c r="G34" i="1"/>
  <c r="G32" i="1"/>
  <c r="G23" i="1"/>
  <c r="G21" i="1"/>
  <c r="G19" i="1"/>
  <c r="G17" i="1"/>
  <c r="G14" i="1"/>
  <c r="G13" i="1"/>
  <c r="G33" i="1"/>
  <c r="G31" i="1"/>
  <c r="G29" i="1"/>
  <c r="G20" i="1"/>
  <c r="G18" i="1"/>
  <c r="G16" i="1"/>
  <c r="G15" i="1"/>
  <c r="G12" i="1"/>
  <c r="G9" i="1"/>
  <c r="G8" i="1"/>
  <c r="G7" i="1"/>
  <c r="G6" i="1"/>
  <c r="G5" i="1"/>
  <c r="G4" i="1"/>
  <c r="H51" i="1"/>
  <c r="H50" i="1"/>
  <c r="H49" i="1"/>
  <c r="H59" i="1"/>
  <c r="H58" i="1"/>
  <c r="H47" i="1"/>
  <c r="H48" i="1"/>
  <c r="J44" i="7" l="1"/>
  <c r="G41" i="7"/>
  <c r="K41" i="7"/>
  <c r="L41" i="7"/>
  <c r="J43" i="6"/>
  <c r="G40" i="6"/>
  <c r="K40" i="6"/>
  <c r="L40" i="6"/>
  <c r="C9" i="5"/>
  <c r="E9" i="5" s="1"/>
  <c r="E8" i="5"/>
  <c r="L7" i="5"/>
  <c r="K7" i="5"/>
  <c r="J7" i="5"/>
  <c r="J8" i="5"/>
  <c r="J9" i="5"/>
  <c r="L15" i="5"/>
  <c r="K15" i="5"/>
  <c r="J15" i="5"/>
  <c r="L16" i="5"/>
  <c r="K16" i="5"/>
  <c r="J16" i="5"/>
  <c r="E4" i="5"/>
  <c r="I4" i="5"/>
  <c r="J4" i="5" s="1"/>
  <c r="E5" i="5"/>
  <c r="K6" i="5"/>
  <c r="K12" i="5"/>
  <c r="L18" i="5"/>
  <c r="K18" i="5"/>
  <c r="J18" i="5"/>
  <c r="E25" i="5"/>
  <c r="L24" i="5"/>
  <c r="K24" i="5"/>
  <c r="J24" i="5"/>
  <c r="J25" i="5"/>
  <c r="L30" i="5"/>
  <c r="K30" i="5"/>
  <c r="J30" i="5"/>
  <c r="L31" i="5"/>
  <c r="K31" i="5"/>
  <c r="J31" i="5"/>
  <c r="E36" i="5"/>
  <c r="K36" i="5" s="1"/>
  <c r="J36" i="5"/>
  <c r="K20" i="5"/>
  <c r="E22" i="5"/>
  <c r="K26" i="5"/>
  <c r="E29" i="5"/>
  <c r="E33" i="5"/>
  <c r="L35" i="5"/>
  <c r="C9" i="4"/>
  <c r="E9" i="4" s="1"/>
  <c r="E8" i="4"/>
  <c r="L7" i="4"/>
  <c r="K7" i="4"/>
  <c r="J7" i="4"/>
  <c r="J8" i="4"/>
  <c r="J9" i="4"/>
  <c r="L15" i="4"/>
  <c r="K15" i="4"/>
  <c r="J15" i="4"/>
  <c r="L16" i="4"/>
  <c r="K16" i="4"/>
  <c r="J16" i="4"/>
  <c r="E4" i="4"/>
  <c r="I4" i="4"/>
  <c r="J4" i="4" s="1"/>
  <c r="E5" i="4"/>
  <c r="K6" i="4"/>
  <c r="K12" i="4"/>
  <c r="L18" i="4"/>
  <c r="K18" i="4"/>
  <c r="J18" i="4"/>
  <c r="E25" i="4"/>
  <c r="L24" i="4"/>
  <c r="K24" i="4"/>
  <c r="J24" i="4"/>
  <c r="J25" i="4"/>
  <c r="L30" i="4"/>
  <c r="K30" i="4"/>
  <c r="J30" i="4"/>
  <c r="L31" i="4"/>
  <c r="K31" i="4"/>
  <c r="J31" i="4"/>
  <c r="E36" i="4"/>
  <c r="K36" i="4" s="1"/>
  <c r="J36" i="4"/>
  <c r="K20" i="4"/>
  <c r="E22" i="4"/>
  <c r="K26" i="4"/>
  <c r="E29" i="4"/>
  <c r="E33" i="4"/>
  <c r="L35" i="4"/>
  <c r="I38" i="1"/>
  <c r="L33" i="5" l="1"/>
  <c r="K33" i="5"/>
  <c r="L29" i="5"/>
  <c r="K29" i="5"/>
  <c r="L22" i="5"/>
  <c r="K22" i="5"/>
  <c r="K35" i="5"/>
  <c r="K34" i="5"/>
  <c r="K32" i="5"/>
  <c r="K23" i="5"/>
  <c r="K21" i="5"/>
  <c r="K19" i="5"/>
  <c r="K17" i="5"/>
  <c r="K14" i="5"/>
  <c r="K13" i="5"/>
  <c r="J33" i="5"/>
  <c r="J29" i="5"/>
  <c r="J22" i="5"/>
  <c r="L25" i="5"/>
  <c r="K25" i="5"/>
  <c r="L5" i="5"/>
  <c r="K5" i="5"/>
  <c r="E38" i="5"/>
  <c r="J38" i="5" s="1"/>
  <c r="L4" i="5"/>
  <c r="K4" i="5"/>
  <c r="J5" i="5"/>
  <c r="J40" i="5" s="1"/>
  <c r="J43" i="5" s="1"/>
  <c r="L8" i="5"/>
  <c r="K8" i="5"/>
  <c r="L9" i="5"/>
  <c r="K9" i="5"/>
  <c r="L33" i="4"/>
  <c r="K33" i="4"/>
  <c r="L29" i="4"/>
  <c r="K29" i="4"/>
  <c r="L22" i="4"/>
  <c r="K22" i="4"/>
  <c r="K35" i="4"/>
  <c r="K34" i="4"/>
  <c r="K32" i="4"/>
  <c r="K23" i="4"/>
  <c r="K21" i="4"/>
  <c r="K19" i="4"/>
  <c r="K17" i="4"/>
  <c r="K14" i="4"/>
  <c r="K13" i="4"/>
  <c r="J33" i="4"/>
  <c r="J29" i="4"/>
  <c r="J22" i="4"/>
  <c r="L25" i="4"/>
  <c r="K25" i="4"/>
  <c r="L5" i="4"/>
  <c r="K5" i="4"/>
  <c r="E38" i="4"/>
  <c r="J38" i="4" s="1"/>
  <c r="L4" i="4"/>
  <c r="K4" i="4"/>
  <c r="J5" i="4"/>
  <c r="J40" i="4" s="1"/>
  <c r="J43" i="4" s="1"/>
  <c r="L8" i="4"/>
  <c r="K8" i="4"/>
  <c r="L9" i="4"/>
  <c r="K9" i="4"/>
  <c r="D44" i="1"/>
  <c r="I5" i="1"/>
  <c r="I6" i="1"/>
  <c r="I7" i="1"/>
  <c r="I8" i="1"/>
  <c r="I9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9" i="1"/>
  <c r="I30" i="1"/>
  <c r="I31" i="1"/>
  <c r="I32" i="1"/>
  <c r="I33" i="1"/>
  <c r="I34" i="1"/>
  <c r="I35" i="1"/>
  <c r="I36" i="1"/>
  <c r="I4" i="1"/>
  <c r="E35" i="1"/>
  <c r="E34" i="1"/>
  <c r="C33" i="1"/>
  <c r="C36" i="1" s="1"/>
  <c r="E32" i="1"/>
  <c r="C31" i="1"/>
  <c r="C30" i="1"/>
  <c r="E30" i="1" s="1"/>
  <c r="C29" i="1"/>
  <c r="E29" i="1" s="1"/>
  <c r="E23" i="1"/>
  <c r="E21" i="1"/>
  <c r="E20" i="1" s="1"/>
  <c r="E19" i="1"/>
  <c r="E18" i="1" s="1"/>
  <c r="J18" i="1" s="1"/>
  <c r="E17" i="1"/>
  <c r="J17" i="1" s="1"/>
  <c r="E14" i="1"/>
  <c r="J14" i="1" s="1"/>
  <c r="E26" i="1"/>
  <c r="J26" i="1" s="1"/>
  <c r="C22" i="1"/>
  <c r="E22" i="1" s="1"/>
  <c r="C16" i="1"/>
  <c r="E16" i="1" s="1"/>
  <c r="C15" i="1"/>
  <c r="E13" i="1"/>
  <c r="E12" i="1" s="1"/>
  <c r="C7" i="1"/>
  <c r="E7" i="1" s="1"/>
  <c r="C4" i="1"/>
  <c r="E4" i="1" s="1"/>
  <c r="C24" i="1"/>
  <c r="C5" i="1"/>
  <c r="C8" i="1" s="1"/>
  <c r="C9" i="1" s="1"/>
  <c r="E6" i="1"/>
  <c r="K40" i="5" l="1"/>
  <c r="L40" i="5"/>
  <c r="K40" i="4"/>
  <c r="L40" i="4"/>
  <c r="J30" i="1"/>
  <c r="J4" i="1"/>
  <c r="J35" i="1"/>
  <c r="J34" i="1"/>
  <c r="J32" i="1"/>
  <c r="J29" i="1"/>
  <c r="J23" i="1"/>
  <c r="J22" i="1"/>
  <c r="J21" i="1"/>
  <c r="J20" i="1"/>
  <c r="J19" i="1"/>
  <c r="J16" i="1"/>
  <c r="J13" i="1"/>
  <c r="J12" i="1"/>
  <c r="J7" i="1"/>
  <c r="J6" i="1"/>
  <c r="E25" i="1"/>
  <c r="J25" i="1" s="1"/>
  <c r="E31" i="1"/>
  <c r="J31" i="1" s="1"/>
  <c r="E15" i="1"/>
  <c r="J15" i="1" s="1"/>
  <c r="D8" i="1"/>
  <c r="E8" i="1" s="1"/>
  <c r="J8" i="1" s="1"/>
  <c r="E24" i="1"/>
  <c r="J24" i="1" s="1"/>
  <c r="E5" i="1"/>
  <c r="J5" i="1" s="1"/>
  <c r="E33" i="1"/>
  <c r="J33" i="1" s="1"/>
  <c r="D36" i="1"/>
  <c r="E36" i="1" s="1"/>
  <c r="J36" i="1" s="1"/>
  <c r="D9" i="1" l="1"/>
  <c r="E9" i="1" s="1"/>
  <c r="J9" i="1" s="1"/>
  <c r="E38" i="1" l="1"/>
  <c r="J38" i="1" s="1"/>
  <c r="J40" i="1"/>
  <c r="J43" i="1" s="1"/>
</calcChain>
</file>

<file path=xl/sharedStrings.xml><?xml version="1.0" encoding="utf-8"?>
<sst xmlns="http://schemas.openxmlformats.org/spreadsheetml/2006/main" count="469" uniqueCount="96">
  <si>
    <t>Obalka Stary domecek</t>
  </si>
  <si>
    <t>Plocha</t>
  </si>
  <si>
    <t>Jizni stena</t>
  </si>
  <si>
    <t>Z Stena</t>
  </si>
  <si>
    <t>Z stena okna</t>
  </si>
  <si>
    <t>Strop</t>
  </si>
  <si>
    <t>Podlaha</t>
  </si>
  <si>
    <t>Obalka prizemi pristavba</t>
  </si>
  <si>
    <t>J stena zachod</t>
  </si>
  <si>
    <t>J stena zachod okno</t>
  </si>
  <si>
    <t>J stena vchod dvere</t>
  </si>
  <si>
    <t>J stena sklad</t>
  </si>
  <si>
    <t>Z stena sklad</t>
  </si>
  <si>
    <t>Z stena sklad dvere</t>
  </si>
  <si>
    <t>Z stena atrium</t>
  </si>
  <si>
    <t>Z stena atrium okno</t>
  </si>
  <si>
    <t xml:space="preserve">V stena atrium </t>
  </si>
  <si>
    <t>V stena atrium okno</t>
  </si>
  <si>
    <t>S stena spodek</t>
  </si>
  <si>
    <t>podlaha</t>
  </si>
  <si>
    <t>Obalka prvni patro pristavba</t>
  </si>
  <si>
    <t>J stena</t>
  </si>
  <si>
    <t>S stena</t>
  </si>
  <si>
    <t xml:space="preserve">Z stena </t>
  </si>
  <si>
    <t>Z stena okno francouzske</t>
  </si>
  <si>
    <t>V stena</t>
  </si>
  <si>
    <t>V stena okno francouzske</t>
  </si>
  <si>
    <t>V stena okno zachod</t>
  </si>
  <si>
    <t>strop/strecha</t>
  </si>
  <si>
    <t>Sirka</t>
  </si>
  <si>
    <t>Vyska</t>
  </si>
  <si>
    <t>S stena sousedka</t>
  </si>
  <si>
    <t>Cislo</t>
  </si>
  <si>
    <t>strop krcku</t>
  </si>
  <si>
    <t>V stena spodek operka</t>
  </si>
  <si>
    <t>S stena atrium okno</t>
  </si>
  <si>
    <t>U</t>
  </si>
  <si>
    <t>Koeficient</t>
  </si>
  <si>
    <t>U korig</t>
  </si>
  <si>
    <t>W/K</t>
  </si>
  <si>
    <t>Vnitrni teplota</t>
  </si>
  <si>
    <t>deg C</t>
  </si>
  <si>
    <t>Vypoctova vnejsi teplota</t>
  </si>
  <si>
    <t>Teplotni gradient</t>
  </si>
  <si>
    <t>Vypoctova tepelna ztrata domu W</t>
  </si>
  <si>
    <t>Tepelne vazby mezi konstukcemi</t>
  </si>
  <si>
    <t>Obvodove steny nove</t>
  </si>
  <si>
    <t>Stavebni prvek</t>
  </si>
  <si>
    <t>Vrstva 1</t>
  </si>
  <si>
    <t>Vrstva 2</t>
  </si>
  <si>
    <t>Okna nova</t>
  </si>
  <si>
    <t>Podlahy</t>
  </si>
  <si>
    <t>Strop krcek</t>
  </si>
  <si>
    <t>Strop obyvak</t>
  </si>
  <si>
    <t>Strop domecek</t>
  </si>
  <si>
    <t>J stena domecek</t>
  </si>
  <si>
    <t>Z stena domecek</t>
  </si>
  <si>
    <t>S stena domecek</t>
  </si>
  <si>
    <t>S stena nova k sousedce</t>
  </si>
  <si>
    <t>V stena operka</t>
  </si>
  <si>
    <t>Domecek okna</t>
  </si>
  <si>
    <t>Drevo 72mm Vekra</t>
  </si>
  <si>
    <t>Tesneni</t>
  </si>
  <si>
    <t>Dvojska</t>
  </si>
  <si>
    <t>Beton 60mm</t>
  </si>
  <si>
    <t>Puvodni 450mm CP</t>
  </si>
  <si>
    <t>Puvodni 300mm CP</t>
  </si>
  <si>
    <t>EPS Grey 180 mm l 0,031</t>
  </si>
  <si>
    <t>260 Isover GreyWall + l 0,031</t>
  </si>
  <si>
    <t>24VPC l 0,34</t>
  </si>
  <si>
    <t>60 Isover GreyWall + l 0,031</t>
  </si>
  <si>
    <t>30VPC l 0,34</t>
  </si>
  <si>
    <t>Mineralni vata 400 l 0,035</t>
  </si>
  <si>
    <t>EPS Perimetr 160 l 0,034</t>
  </si>
  <si>
    <t>kliny EPS 140mm 100S l0,037</t>
  </si>
  <si>
    <t>240 vata mezi posi-joist 0,035</t>
  </si>
  <si>
    <t>Cena MAT/m2</t>
  </si>
  <si>
    <t>Cena Prac/m2</t>
  </si>
  <si>
    <t>Cena mat</t>
  </si>
  <si>
    <t>Cena prac</t>
  </si>
  <si>
    <t>Baseline - domecek nezatepleny</t>
  </si>
  <si>
    <t>Material</t>
  </si>
  <si>
    <t>Prace</t>
  </si>
  <si>
    <t>EPS Grey 260 mm l 0,031</t>
  </si>
  <si>
    <t>kliny EPS 240mm 100S l0,037</t>
  </si>
  <si>
    <t>PUR Jitrans 100mm l 0,023</t>
  </si>
  <si>
    <t>Pridano 8cm EPS na podlaze, pridano 10cm EPS na strope obyvaku</t>
  </si>
  <si>
    <t>Prumerny Uem</t>
  </si>
  <si>
    <t>kWh/m2/rok na vytapeni</t>
  </si>
  <si>
    <t>Nova okna ve starem domecku, pridano 8cm EPS na podlaze, pridano 10cm EPS na strope obyvaku. Stary domecek: jizni stena 26cm grey EPS, zapadni: 10cm PUR</t>
  </si>
  <si>
    <t>02:Optimalizace - domecek nezatepleny</t>
  </si>
  <si>
    <t>03Optimalizace - domecek zatepleny</t>
  </si>
  <si>
    <t>03Optimalizace - domecek zatepleny, bez atria</t>
  </si>
  <si>
    <t>03Optimalizace - domecek zatepleny, jizni siroke okno</t>
  </si>
  <si>
    <t>Okno jizni</t>
  </si>
  <si>
    <t>kWh/m2/rok na vytapeni alternativne pri skle 0,6 propustnost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</si>
</sst>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49" fontId="0" fillId="0" borderId="0" xfId="0" applyNumberFormat="1"/>
    <xf numFmtId="49" fontId="2" fillId="0" borderId="0" xfId="0" applyNumberFormat="1" applyFont="1"/>
    <xf numFmtId="2" fontId="0" fillId="0" borderId="0" xfId="0" applyNumberFormat="1" applyAlignment="1">
      <alignment horizontal="center"/>
    </xf>
    <xf numFmtId="0" fontId="3" fillId="0" borderId="0" xfId="0" applyFont="1"/>
    <xf numFmtId="49" fontId="3" fillId="0" borderId="0" xfId="0" applyNumberFormat="1" applyFont="1"/>
    <xf numFmtId="2" fontId="3" fillId="0" borderId="0" xfId="0" applyNumberFormat="1" applyFont="1" applyAlignment="1">
      <alignment horizontal="center"/>
    </xf>
    <xf numFmtId="2" fontId="0" fillId="0" borderId="0" xfId="0" applyNumberFormat="1"/>
    <xf numFmtId="49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2" fillId="0" borderId="0" xfId="0" applyFont="1"/>
    <xf numFmtId="0" fontId="4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3" fillId="0" borderId="0" xfId="0" applyNumberFormat="1" applyFont="1"/>
    <xf numFmtId="164" fontId="2" fillId="0" borderId="0" xfId="0" applyNumberFormat="1" applyFont="1"/>
    <xf numFmtId="2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8643850846752"/>
          <c:y val="2.1930903081559251E-2"/>
          <c:w val="0.78432221723779616"/>
          <c:h val="0.72418812092932827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Absolutni ztraty prvkem</c:v>
          </c:tx>
          <c:invertIfNegative val="0"/>
          <c:cat>
            <c:strRef>
              <c:f>'01Baseline'!$B$3:$B$36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'01Baseline'!$J$3:$J$36</c:f>
              <c:numCache>
                <c:formatCode>0.00</c:formatCode>
                <c:ptCount val="34"/>
                <c:pt idx="0">
                  <c:v>0</c:v>
                </c:pt>
                <c:pt idx="1">
                  <c:v>23.451500000000003</c:v>
                </c:pt>
                <c:pt idx="2">
                  <c:v>25.176200000000005</c:v>
                </c:pt>
                <c:pt idx="3">
                  <c:v>9.6203249999999993</c:v>
                </c:pt>
                <c:pt idx="4">
                  <c:v>3.2832100000000008</c:v>
                </c:pt>
                <c:pt idx="5">
                  <c:v>2.5263539999999995</c:v>
                </c:pt>
                <c:pt idx="6">
                  <c:v>2.29976</c:v>
                </c:pt>
                <c:pt idx="9">
                  <c:v>0.62204999999999999</c:v>
                </c:pt>
                <c:pt idx="10">
                  <c:v>1.4317499999999999</c:v>
                </c:pt>
                <c:pt idx="11">
                  <c:v>4.5338749999999992</c:v>
                </c:pt>
                <c:pt idx="12">
                  <c:v>1.4553000000000003</c:v>
                </c:pt>
                <c:pt idx="13">
                  <c:v>0.90584999999999993</c:v>
                </c:pt>
                <c:pt idx="14">
                  <c:v>2.5055624999999999</c:v>
                </c:pt>
                <c:pt idx="15">
                  <c:v>0.42570000000000013</c:v>
                </c:pt>
                <c:pt idx="16">
                  <c:v>4.2952499999999993</c:v>
                </c:pt>
                <c:pt idx="17">
                  <c:v>0.75570000000000015</c:v>
                </c:pt>
                <c:pt idx="18">
                  <c:v>1.4317499999999999</c:v>
                </c:pt>
                <c:pt idx="19">
                  <c:v>2.8256040000000002</c:v>
                </c:pt>
                <c:pt idx="20">
                  <c:v>4.5338749999999992</c:v>
                </c:pt>
                <c:pt idx="21">
                  <c:v>1.0505600000000002</c:v>
                </c:pt>
                <c:pt idx="22">
                  <c:v>5.6654200000000001</c:v>
                </c:pt>
                <c:pt idx="23">
                  <c:v>2.7355499999999999</c:v>
                </c:pt>
                <c:pt idx="26">
                  <c:v>1.5900500000000002</c:v>
                </c:pt>
                <c:pt idx="27">
                  <c:v>0.70829500000000012</c:v>
                </c:pt>
                <c:pt idx="28">
                  <c:v>2.5146000000000002</c:v>
                </c:pt>
                <c:pt idx="29">
                  <c:v>8.5904999999999987</c:v>
                </c:pt>
                <c:pt idx="30">
                  <c:v>2.3496000000000001</c:v>
                </c:pt>
                <c:pt idx="31">
                  <c:v>8.5904999999999987</c:v>
                </c:pt>
                <c:pt idx="32">
                  <c:v>1.4317499999999999</c:v>
                </c:pt>
                <c:pt idx="33">
                  <c:v>4.7628000000000004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58"/>
        <c:axId val="257247984"/>
        <c:axId val="257247200"/>
      </c:barChart>
      <c:barChart>
        <c:barDir val="col"/>
        <c:grouping val="clustered"/>
        <c:varyColors val="0"/>
        <c:ser>
          <c:idx val="0"/>
          <c:order val="0"/>
          <c:tx>
            <c:v>Kvalita prvku</c:v>
          </c:tx>
          <c:invertIfNegative val="0"/>
          <c:cat>
            <c:strRef>
              <c:f>'01Baseline'!$B$3:$B$36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'01Baseline'!$I$3:$I$36</c:f>
              <c:numCache>
                <c:formatCode>0.00</c:formatCode>
                <c:ptCount val="34"/>
                <c:pt idx="0">
                  <c:v>0</c:v>
                </c:pt>
                <c:pt idx="1">
                  <c:v>1.7</c:v>
                </c:pt>
                <c:pt idx="2">
                  <c:v>1.4</c:v>
                </c:pt>
                <c:pt idx="3">
                  <c:v>1.7249999999999999</c:v>
                </c:pt>
                <c:pt idx="4">
                  <c:v>0.23800000000000002</c:v>
                </c:pt>
                <c:pt idx="5">
                  <c:v>7.4699999999999989E-2</c:v>
                </c:pt>
                <c:pt idx="6">
                  <c:v>6.8000000000000005E-2</c:v>
                </c:pt>
                <c:pt idx="9">
                  <c:v>0.11</c:v>
                </c:pt>
                <c:pt idx="10">
                  <c:v>0.9544999999999999</c:v>
                </c:pt>
                <c:pt idx="11">
                  <c:v>0.9544999999999999</c:v>
                </c:pt>
                <c:pt idx="12">
                  <c:v>0.11</c:v>
                </c:pt>
                <c:pt idx="13">
                  <c:v>0.11</c:v>
                </c:pt>
                <c:pt idx="14">
                  <c:v>0.9544999999999999</c:v>
                </c:pt>
                <c:pt idx="15">
                  <c:v>0.11</c:v>
                </c:pt>
                <c:pt idx="16">
                  <c:v>0.9544999999999999</c:v>
                </c:pt>
                <c:pt idx="17">
                  <c:v>0.11</c:v>
                </c:pt>
                <c:pt idx="18">
                  <c:v>0.9544999999999999</c:v>
                </c:pt>
                <c:pt idx="19">
                  <c:v>9.69E-2</c:v>
                </c:pt>
                <c:pt idx="20">
                  <c:v>0.9544999999999999</c:v>
                </c:pt>
                <c:pt idx="21">
                  <c:v>4.9000000000000002E-2</c:v>
                </c:pt>
                <c:pt idx="22">
                  <c:v>6.8000000000000005E-2</c:v>
                </c:pt>
                <c:pt idx="23">
                  <c:v>0.09</c:v>
                </c:pt>
                <c:pt idx="26">
                  <c:v>0.11</c:v>
                </c:pt>
                <c:pt idx="27">
                  <c:v>4.9000000000000002E-2</c:v>
                </c:pt>
                <c:pt idx="28">
                  <c:v>0.11</c:v>
                </c:pt>
                <c:pt idx="29">
                  <c:v>0.9544999999999999</c:v>
                </c:pt>
                <c:pt idx="30">
                  <c:v>0.11</c:v>
                </c:pt>
                <c:pt idx="31">
                  <c:v>0.9544999999999999</c:v>
                </c:pt>
                <c:pt idx="32">
                  <c:v>0.9544999999999999</c:v>
                </c:pt>
                <c:pt idx="33">
                  <c:v>0.09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overlap val="-100"/>
        <c:axId val="257243672"/>
        <c:axId val="257243280"/>
      </c:barChart>
      <c:catAx>
        <c:axId val="257247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247200"/>
        <c:crosses val="autoZero"/>
        <c:auto val="1"/>
        <c:lblAlgn val="ctr"/>
        <c:lblOffset val="100"/>
        <c:noMultiLvlLbl val="0"/>
      </c:catAx>
      <c:valAx>
        <c:axId val="257247200"/>
        <c:scaling>
          <c:orientation val="minMax"/>
          <c:max val="3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W/K</a:t>
                </a:r>
              </a:p>
            </c:rich>
          </c:tx>
          <c:layout>
            <c:manualLayout>
              <c:xMode val="edge"/>
              <c:yMode val="edge"/>
              <c:x val="1.6500248440185602E-2"/>
              <c:y val="0.36345212404005056"/>
            </c:manualLayout>
          </c:layout>
          <c:overlay val="0"/>
          <c:spPr>
            <a:solidFill>
              <a:schemeClr val="accent2"/>
            </a:solidFill>
          </c:spPr>
        </c:title>
        <c:numFmt formatCode="0.00" sourceLinked="1"/>
        <c:majorTickMark val="out"/>
        <c:minorTickMark val="none"/>
        <c:tickLblPos val="nextTo"/>
        <c:crossAx val="257247984"/>
        <c:crosses val="autoZero"/>
        <c:crossBetween val="between"/>
      </c:valAx>
      <c:valAx>
        <c:axId val="257243280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U*koeficient polohy</a:t>
                </a:r>
              </a:p>
            </c:rich>
          </c:tx>
          <c:layout>
            <c:manualLayout>
              <c:xMode val="edge"/>
              <c:yMode val="edge"/>
              <c:x val="0.95283217832301681"/>
              <c:y val="0.29535825799552828"/>
            </c:manualLayout>
          </c:layout>
          <c:overlay val="0"/>
          <c:spPr>
            <a:solidFill>
              <a:schemeClr val="tx2">
                <a:lumMod val="60000"/>
                <a:lumOff val="40000"/>
              </a:schemeClr>
            </a:solidFill>
          </c:spPr>
        </c:title>
        <c:numFmt formatCode="0.00" sourceLinked="1"/>
        <c:majorTickMark val="out"/>
        <c:minorTickMark val="none"/>
        <c:tickLblPos val="nextTo"/>
        <c:crossAx val="257243672"/>
        <c:crosses val="max"/>
        <c:crossBetween val="between"/>
      </c:valAx>
      <c:catAx>
        <c:axId val="2572436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72432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860054293399237"/>
          <c:y val="5.1441080975989109E-2"/>
          <c:w val="0.19270588634783378"/>
          <c:h val="7.1438670166229221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8643850846752"/>
          <c:y val="2.1930903081559251E-2"/>
          <c:w val="0.78432221723779616"/>
          <c:h val="0.72418812092932827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Absolutni ztraty prvkem</c:v>
          </c:tx>
          <c:invertIfNegative val="0"/>
          <c:cat>
            <c:strRef>
              <c:f>'02Optimalizace'!$B$3:$B$36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'02Optimalizace'!$J$3:$J$36</c:f>
              <c:numCache>
                <c:formatCode>0.00</c:formatCode>
                <c:ptCount val="34"/>
                <c:pt idx="0">
                  <c:v>0</c:v>
                </c:pt>
                <c:pt idx="1">
                  <c:v>23.451500000000003</c:v>
                </c:pt>
                <c:pt idx="2">
                  <c:v>25.176200000000005</c:v>
                </c:pt>
                <c:pt idx="3">
                  <c:v>9.6203249999999993</c:v>
                </c:pt>
                <c:pt idx="4">
                  <c:v>3.2832100000000008</c:v>
                </c:pt>
                <c:pt idx="5">
                  <c:v>2.5263539999999995</c:v>
                </c:pt>
                <c:pt idx="6">
                  <c:v>1.6233600000000001</c:v>
                </c:pt>
                <c:pt idx="9">
                  <c:v>0.62204999999999999</c:v>
                </c:pt>
                <c:pt idx="10">
                  <c:v>1.4317499999999999</c:v>
                </c:pt>
                <c:pt idx="11">
                  <c:v>4.5338749999999992</c:v>
                </c:pt>
                <c:pt idx="12">
                  <c:v>1.4553000000000003</c:v>
                </c:pt>
                <c:pt idx="13">
                  <c:v>0.90584999999999993</c:v>
                </c:pt>
                <c:pt idx="14">
                  <c:v>2.5055624999999999</c:v>
                </c:pt>
                <c:pt idx="15">
                  <c:v>0.42570000000000013</c:v>
                </c:pt>
                <c:pt idx="16">
                  <c:v>4.2952499999999993</c:v>
                </c:pt>
                <c:pt idx="17">
                  <c:v>0.75570000000000015</c:v>
                </c:pt>
                <c:pt idx="18">
                  <c:v>1.4317499999999999</c:v>
                </c:pt>
                <c:pt idx="19">
                  <c:v>2.8256040000000002</c:v>
                </c:pt>
                <c:pt idx="20">
                  <c:v>4.5338749999999992</c:v>
                </c:pt>
                <c:pt idx="21">
                  <c:v>1.0505600000000002</c:v>
                </c:pt>
                <c:pt idx="22">
                  <c:v>3.99912</c:v>
                </c:pt>
                <c:pt idx="23">
                  <c:v>2.7355499999999999</c:v>
                </c:pt>
                <c:pt idx="26">
                  <c:v>1.5900500000000002</c:v>
                </c:pt>
                <c:pt idx="27">
                  <c:v>0.70829500000000012</c:v>
                </c:pt>
                <c:pt idx="28">
                  <c:v>2.5146000000000002</c:v>
                </c:pt>
                <c:pt idx="29">
                  <c:v>8.5904999999999987</c:v>
                </c:pt>
                <c:pt idx="30">
                  <c:v>2.3496000000000001</c:v>
                </c:pt>
                <c:pt idx="31">
                  <c:v>8.5904999999999987</c:v>
                </c:pt>
                <c:pt idx="32">
                  <c:v>1.4317499999999999</c:v>
                </c:pt>
                <c:pt idx="33">
                  <c:v>3.7044000000000006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58"/>
        <c:axId val="257244456"/>
        <c:axId val="257249552"/>
      </c:barChart>
      <c:barChart>
        <c:barDir val="col"/>
        <c:grouping val="clustered"/>
        <c:varyColors val="0"/>
        <c:ser>
          <c:idx val="0"/>
          <c:order val="0"/>
          <c:tx>
            <c:v>Kvalita prvku</c:v>
          </c:tx>
          <c:invertIfNegative val="0"/>
          <c:cat>
            <c:strRef>
              <c:f>'02Optimalizace'!$B$3:$B$36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'02Optimalizace'!$I$3:$I$36</c:f>
              <c:numCache>
                <c:formatCode>0.00</c:formatCode>
                <c:ptCount val="34"/>
                <c:pt idx="0">
                  <c:v>0</c:v>
                </c:pt>
                <c:pt idx="1">
                  <c:v>1.7</c:v>
                </c:pt>
                <c:pt idx="2">
                  <c:v>1.4</c:v>
                </c:pt>
                <c:pt idx="3">
                  <c:v>1.7249999999999999</c:v>
                </c:pt>
                <c:pt idx="4">
                  <c:v>0.23800000000000002</c:v>
                </c:pt>
                <c:pt idx="5">
                  <c:v>7.4699999999999989E-2</c:v>
                </c:pt>
                <c:pt idx="6">
                  <c:v>4.8000000000000001E-2</c:v>
                </c:pt>
                <c:pt idx="9">
                  <c:v>0.11</c:v>
                </c:pt>
                <c:pt idx="10">
                  <c:v>0.9544999999999999</c:v>
                </c:pt>
                <c:pt idx="11">
                  <c:v>0.9544999999999999</c:v>
                </c:pt>
                <c:pt idx="12">
                  <c:v>0.11</c:v>
                </c:pt>
                <c:pt idx="13">
                  <c:v>0.11</c:v>
                </c:pt>
                <c:pt idx="14">
                  <c:v>0.9544999999999999</c:v>
                </c:pt>
                <c:pt idx="15">
                  <c:v>0.11</c:v>
                </c:pt>
                <c:pt idx="16">
                  <c:v>0.9544999999999999</c:v>
                </c:pt>
                <c:pt idx="17">
                  <c:v>0.11</c:v>
                </c:pt>
                <c:pt idx="18">
                  <c:v>0.9544999999999999</c:v>
                </c:pt>
                <c:pt idx="19">
                  <c:v>9.69E-2</c:v>
                </c:pt>
                <c:pt idx="20">
                  <c:v>0.9544999999999999</c:v>
                </c:pt>
                <c:pt idx="21">
                  <c:v>4.9000000000000002E-2</c:v>
                </c:pt>
                <c:pt idx="22">
                  <c:v>4.8000000000000001E-2</c:v>
                </c:pt>
                <c:pt idx="23">
                  <c:v>0.09</c:v>
                </c:pt>
                <c:pt idx="26">
                  <c:v>0.11</c:v>
                </c:pt>
                <c:pt idx="27">
                  <c:v>4.9000000000000002E-2</c:v>
                </c:pt>
                <c:pt idx="28">
                  <c:v>0.11</c:v>
                </c:pt>
                <c:pt idx="29">
                  <c:v>0.9544999999999999</c:v>
                </c:pt>
                <c:pt idx="30">
                  <c:v>0.11</c:v>
                </c:pt>
                <c:pt idx="31">
                  <c:v>0.9544999999999999</c:v>
                </c:pt>
                <c:pt idx="32">
                  <c:v>0.9544999999999999</c:v>
                </c:pt>
                <c:pt idx="33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overlap val="-100"/>
        <c:axId val="257242104"/>
        <c:axId val="257242888"/>
      </c:barChart>
      <c:catAx>
        <c:axId val="257244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249552"/>
        <c:crosses val="autoZero"/>
        <c:auto val="1"/>
        <c:lblAlgn val="ctr"/>
        <c:lblOffset val="100"/>
        <c:noMultiLvlLbl val="0"/>
      </c:catAx>
      <c:valAx>
        <c:axId val="257249552"/>
        <c:scaling>
          <c:orientation val="minMax"/>
          <c:max val="3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W/K</a:t>
                </a:r>
              </a:p>
            </c:rich>
          </c:tx>
          <c:layout>
            <c:manualLayout>
              <c:xMode val="edge"/>
              <c:yMode val="edge"/>
              <c:x val="1.6500248440185602E-2"/>
              <c:y val="0.36345212404005056"/>
            </c:manualLayout>
          </c:layout>
          <c:overlay val="0"/>
          <c:spPr>
            <a:solidFill>
              <a:schemeClr val="accent2"/>
            </a:solidFill>
          </c:spPr>
        </c:title>
        <c:numFmt formatCode="0.00" sourceLinked="1"/>
        <c:majorTickMark val="out"/>
        <c:minorTickMark val="none"/>
        <c:tickLblPos val="nextTo"/>
        <c:crossAx val="257244456"/>
        <c:crosses val="autoZero"/>
        <c:crossBetween val="between"/>
      </c:valAx>
      <c:valAx>
        <c:axId val="257242888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U*koeficient polohy</a:t>
                </a:r>
              </a:p>
            </c:rich>
          </c:tx>
          <c:layout>
            <c:manualLayout>
              <c:xMode val="edge"/>
              <c:yMode val="edge"/>
              <c:x val="0.95283217832301681"/>
              <c:y val="0.29535825799552828"/>
            </c:manualLayout>
          </c:layout>
          <c:overlay val="0"/>
          <c:spPr>
            <a:solidFill>
              <a:schemeClr val="tx2">
                <a:lumMod val="60000"/>
                <a:lumOff val="40000"/>
              </a:schemeClr>
            </a:solidFill>
          </c:spPr>
        </c:title>
        <c:numFmt formatCode="0.00" sourceLinked="1"/>
        <c:majorTickMark val="out"/>
        <c:minorTickMark val="none"/>
        <c:tickLblPos val="nextTo"/>
        <c:crossAx val="257242104"/>
        <c:crosses val="max"/>
        <c:crossBetween val="between"/>
      </c:valAx>
      <c:catAx>
        <c:axId val="2572421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724288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860054293399237"/>
          <c:y val="5.1441080975989109E-2"/>
          <c:w val="0.19270588634783378"/>
          <c:h val="7.1438670166229221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8643850846752"/>
          <c:y val="2.1930903081559251E-2"/>
          <c:w val="0.78432221723779616"/>
          <c:h val="0.72418812092932827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Absolutni ztraty prvkem</c:v>
          </c:tx>
          <c:invertIfNegative val="0"/>
          <c:cat>
            <c:strRef>
              <c:f>'03Optimalizace'!$B$3:$B$36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'03Optimalizace'!$J$3:$J$36</c:f>
              <c:numCache>
                <c:formatCode>0.00</c:formatCode>
                <c:ptCount val="34"/>
                <c:pt idx="0">
                  <c:v>0</c:v>
                </c:pt>
                <c:pt idx="1">
                  <c:v>1.5174500000000002</c:v>
                </c:pt>
                <c:pt idx="2">
                  <c:v>3.5966000000000009</c:v>
                </c:pt>
                <c:pt idx="3">
                  <c:v>5.3232464999999998</c:v>
                </c:pt>
                <c:pt idx="4">
                  <c:v>3.2832100000000008</c:v>
                </c:pt>
                <c:pt idx="5">
                  <c:v>2.5263539999999995</c:v>
                </c:pt>
                <c:pt idx="6">
                  <c:v>1.6233600000000001</c:v>
                </c:pt>
                <c:pt idx="9">
                  <c:v>0.62204999999999999</c:v>
                </c:pt>
                <c:pt idx="10">
                  <c:v>1.4317499999999999</c:v>
                </c:pt>
                <c:pt idx="11">
                  <c:v>4.5338749999999992</c:v>
                </c:pt>
                <c:pt idx="12">
                  <c:v>1.4553000000000003</c:v>
                </c:pt>
                <c:pt idx="13">
                  <c:v>0.90584999999999993</c:v>
                </c:pt>
                <c:pt idx="14">
                  <c:v>2.5055624999999999</c:v>
                </c:pt>
                <c:pt idx="15">
                  <c:v>0.42570000000000013</c:v>
                </c:pt>
                <c:pt idx="16">
                  <c:v>4.2952499999999993</c:v>
                </c:pt>
                <c:pt idx="17">
                  <c:v>0.75570000000000015</c:v>
                </c:pt>
                <c:pt idx="18">
                  <c:v>1.4317499999999999</c:v>
                </c:pt>
                <c:pt idx="19">
                  <c:v>2.8256040000000002</c:v>
                </c:pt>
                <c:pt idx="20">
                  <c:v>4.5338749999999992</c:v>
                </c:pt>
                <c:pt idx="21">
                  <c:v>1.0505600000000002</c:v>
                </c:pt>
                <c:pt idx="22">
                  <c:v>3.99912</c:v>
                </c:pt>
                <c:pt idx="23">
                  <c:v>2.7355499999999999</c:v>
                </c:pt>
                <c:pt idx="26">
                  <c:v>1.5900500000000002</c:v>
                </c:pt>
                <c:pt idx="27">
                  <c:v>0.70829500000000012</c:v>
                </c:pt>
                <c:pt idx="28">
                  <c:v>2.5146000000000002</c:v>
                </c:pt>
                <c:pt idx="29">
                  <c:v>8.5904999999999987</c:v>
                </c:pt>
                <c:pt idx="30">
                  <c:v>2.3496000000000001</c:v>
                </c:pt>
                <c:pt idx="31">
                  <c:v>8.5904999999999987</c:v>
                </c:pt>
                <c:pt idx="32">
                  <c:v>1.4317499999999999</c:v>
                </c:pt>
                <c:pt idx="33">
                  <c:v>3.7044000000000006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58"/>
        <c:axId val="134721808"/>
        <c:axId val="134721024"/>
      </c:barChart>
      <c:barChart>
        <c:barDir val="col"/>
        <c:grouping val="clustered"/>
        <c:varyColors val="0"/>
        <c:ser>
          <c:idx val="0"/>
          <c:order val="0"/>
          <c:tx>
            <c:v>Kvalita prvku</c:v>
          </c:tx>
          <c:invertIfNegative val="0"/>
          <c:cat>
            <c:strRef>
              <c:f>'03Optimalizace'!$B$3:$B$36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'03Optimalizace'!$I$3:$I$36</c:f>
              <c:numCache>
                <c:formatCode>0.00</c:formatCode>
                <c:ptCount val="34"/>
                <c:pt idx="0">
                  <c:v>0</c:v>
                </c:pt>
                <c:pt idx="1">
                  <c:v>0.11</c:v>
                </c:pt>
                <c:pt idx="2">
                  <c:v>0.2</c:v>
                </c:pt>
                <c:pt idx="3">
                  <c:v>0.9544999999999999</c:v>
                </c:pt>
                <c:pt idx="4">
                  <c:v>0.23800000000000002</c:v>
                </c:pt>
                <c:pt idx="5">
                  <c:v>7.4699999999999989E-2</c:v>
                </c:pt>
                <c:pt idx="6">
                  <c:v>4.8000000000000001E-2</c:v>
                </c:pt>
                <c:pt idx="9">
                  <c:v>0.11</c:v>
                </c:pt>
                <c:pt idx="10">
                  <c:v>0.9544999999999999</c:v>
                </c:pt>
                <c:pt idx="11">
                  <c:v>0.9544999999999999</c:v>
                </c:pt>
                <c:pt idx="12">
                  <c:v>0.11</c:v>
                </c:pt>
                <c:pt idx="13">
                  <c:v>0.11</c:v>
                </c:pt>
                <c:pt idx="14">
                  <c:v>0.9544999999999999</c:v>
                </c:pt>
                <c:pt idx="15">
                  <c:v>0.11</c:v>
                </c:pt>
                <c:pt idx="16">
                  <c:v>0.9544999999999999</c:v>
                </c:pt>
                <c:pt idx="17">
                  <c:v>0.11</c:v>
                </c:pt>
                <c:pt idx="18">
                  <c:v>0.9544999999999999</c:v>
                </c:pt>
                <c:pt idx="19">
                  <c:v>9.69E-2</c:v>
                </c:pt>
                <c:pt idx="20">
                  <c:v>0.9544999999999999</c:v>
                </c:pt>
                <c:pt idx="21">
                  <c:v>4.9000000000000002E-2</c:v>
                </c:pt>
                <c:pt idx="22">
                  <c:v>4.8000000000000001E-2</c:v>
                </c:pt>
                <c:pt idx="23">
                  <c:v>0.09</c:v>
                </c:pt>
                <c:pt idx="26">
                  <c:v>0.11</c:v>
                </c:pt>
                <c:pt idx="27">
                  <c:v>4.9000000000000002E-2</c:v>
                </c:pt>
                <c:pt idx="28">
                  <c:v>0.11</c:v>
                </c:pt>
                <c:pt idx="29">
                  <c:v>0.9544999999999999</c:v>
                </c:pt>
                <c:pt idx="30">
                  <c:v>0.11</c:v>
                </c:pt>
                <c:pt idx="31">
                  <c:v>0.9544999999999999</c:v>
                </c:pt>
                <c:pt idx="32">
                  <c:v>0.9544999999999999</c:v>
                </c:pt>
                <c:pt idx="33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overlap val="-100"/>
        <c:axId val="134719456"/>
        <c:axId val="134718280"/>
      </c:barChart>
      <c:catAx>
        <c:axId val="134721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4721024"/>
        <c:crosses val="autoZero"/>
        <c:auto val="1"/>
        <c:lblAlgn val="ctr"/>
        <c:lblOffset val="100"/>
        <c:noMultiLvlLbl val="0"/>
      </c:catAx>
      <c:valAx>
        <c:axId val="134721024"/>
        <c:scaling>
          <c:orientation val="minMax"/>
          <c:max val="3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W/K</a:t>
                </a:r>
              </a:p>
            </c:rich>
          </c:tx>
          <c:layout>
            <c:manualLayout>
              <c:xMode val="edge"/>
              <c:yMode val="edge"/>
              <c:x val="1.6500248440185602E-2"/>
              <c:y val="0.36345212404005056"/>
            </c:manualLayout>
          </c:layout>
          <c:overlay val="0"/>
          <c:spPr>
            <a:solidFill>
              <a:schemeClr val="accent2"/>
            </a:solidFill>
          </c:spPr>
        </c:title>
        <c:numFmt formatCode="0.00" sourceLinked="1"/>
        <c:majorTickMark val="out"/>
        <c:minorTickMark val="none"/>
        <c:tickLblPos val="nextTo"/>
        <c:crossAx val="134721808"/>
        <c:crosses val="autoZero"/>
        <c:crossBetween val="between"/>
      </c:valAx>
      <c:valAx>
        <c:axId val="134718280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U*koeficient polohy</a:t>
                </a:r>
              </a:p>
            </c:rich>
          </c:tx>
          <c:layout>
            <c:manualLayout>
              <c:xMode val="edge"/>
              <c:yMode val="edge"/>
              <c:x val="0.95283217832301681"/>
              <c:y val="0.29535825799552828"/>
            </c:manualLayout>
          </c:layout>
          <c:overlay val="0"/>
          <c:spPr>
            <a:solidFill>
              <a:schemeClr val="tx2">
                <a:lumMod val="60000"/>
                <a:lumOff val="40000"/>
              </a:schemeClr>
            </a:solidFill>
          </c:spPr>
        </c:title>
        <c:numFmt formatCode="0.00" sourceLinked="1"/>
        <c:majorTickMark val="out"/>
        <c:minorTickMark val="none"/>
        <c:tickLblPos val="nextTo"/>
        <c:crossAx val="134719456"/>
        <c:crosses val="max"/>
        <c:crossBetween val="between"/>
      </c:valAx>
      <c:catAx>
        <c:axId val="134719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71828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860054293399237"/>
          <c:y val="5.1441080975989109E-2"/>
          <c:w val="0.19270588634783378"/>
          <c:h val="7.1438670166229221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8643850846752"/>
          <c:y val="2.1930903081559251E-2"/>
          <c:w val="0.78432221723779616"/>
          <c:h val="0.72418812092932827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Absolutni ztraty prvkem</c:v>
          </c:tx>
          <c:invertIfNegative val="0"/>
          <c:cat>
            <c:strRef>
              <c:f>'04Optimalizace'!$B$3:$B$36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'04Optimalizace'!$J$3:$J$36</c:f>
              <c:numCache>
                <c:formatCode>0.00</c:formatCode>
                <c:ptCount val="34"/>
                <c:pt idx="0">
                  <c:v>0</c:v>
                </c:pt>
                <c:pt idx="1">
                  <c:v>1.5174500000000002</c:v>
                </c:pt>
                <c:pt idx="2">
                  <c:v>3.5966000000000009</c:v>
                </c:pt>
                <c:pt idx="3">
                  <c:v>5.3232464999999998</c:v>
                </c:pt>
                <c:pt idx="4">
                  <c:v>3.2832100000000008</c:v>
                </c:pt>
                <c:pt idx="5">
                  <c:v>2.5263539999999995</c:v>
                </c:pt>
                <c:pt idx="6">
                  <c:v>1.6233600000000001</c:v>
                </c:pt>
                <c:pt idx="9">
                  <c:v>0.62204999999999999</c:v>
                </c:pt>
                <c:pt idx="10">
                  <c:v>1.4317499999999999</c:v>
                </c:pt>
                <c:pt idx="11">
                  <c:v>4.5338749999999992</c:v>
                </c:pt>
                <c:pt idx="12">
                  <c:v>1.4553000000000003</c:v>
                </c:pt>
                <c:pt idx="13">
                  <c:v>0.90584999999999993</c:v>
                </c:pt>
                <c:pt idx="14">
                  <c:v>2.5055624999999999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2.8256040000000002</c:v>
                </c:pt>
                <c:pt idx="20">
                  <c:v>0</c:v>
                </c:pt>
                <c:pt idx="21">
                  <c:v>1.2833100000000002</c:v>
                </c:pt>
                <c:pt idx="22">
                  <c:v>4.3413599999999999</c:v>
                </c:pt>
                <c:pt idx="23">
                  <c:v>3.3772499999999996</c:v>
                </c:pt>
                <c:pt idx="26">
                  <c:v>1.5900500000000002</c:v>
                </c:pt>
                <c:pt idx="27">
                  <c:v>0.70829500000000012</c:v>
                </c:pt>
                <c:pt idx="28">
                  <c:v>2.5146000000000002</c:v>
                </c:pt>
                <c:pt idx="29">
                  <c:v>8.5904999999999987</c:v>
                </c:pt>
                <c:pt idx="30">
                  <c:v>2.3496000000000001</c:v>
                </c:pt>
                <c:pt idx="31">
                  <c:v>8.5904999999999987</c:v>
                </c:pt>
                <c:pt idx="32">
                  <c:v>1.4317499999999999</c:v>
                </c:pt>
                <c:pt idx="33">
                  <c:v>3.7044000000000006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58"/>
        <c:axId val="135285200"/>
        <c:axId val="135289904"/>
      </c:barChart>
      <c:barChart>
        <c:barDir val="col"/>
        <c:grouping val="clustered"/>
        <c:varyColors val="0"/>
        <c:ser>
          <c:idx val="0"/>
          <c:order val="0"/>
          <c:tx>
            <c:v>Kvalita prvku</c:v>
          </c:tx>
          <c:invertIfNegative val="0"/>
          <c:cat>
            <c:strRef>
              <c:f>'04Optimalizace'!$B$3:$B$36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'04Optimalizace'!$I$3:$I$36</c:f>
              <c:numCache>
                <c:formatCode>0.00</c:formatCode>
                <c:ptCount val="34"/>
                <c:pt idx="0">
                  <c:v>0</c:v>
                </c:pt>
                <c:pt idx="1">
                  <c:v>0.11</c:v>
                </c:pt>
                <c:pt idx="2">
                  <c:v>0.2</c:v>
                </c:pt>
                <c:pt idx="3">
                  <c:v>0.9544999999999999</c:v>
                </c:pt>
                <c:pt idx="4">
                  <c:v>0.23800000000000002</c:v>
                </c:pt>
                <c:pt idx="5">
                  <c:v>7.4699999999999989E-2</c:v>
                </c:pt>
                <c:pt idx="6">
                  <c:v>4.8000000000000001E-2</c:v>
                </c:pt>
                <c:pt idx="9">
                  <c:v>0.11</c:v>
                </c:pt>
                <c:pt idx="10">
                  <c:v>0.9544999999999999</c:v>
                </c:pt>
                <c:pt idx="11">
                  <c:v>0.9544999999999999</c:v>
                </c:pt>
                <c:pt idx="12">
                  <c:v>0.11</c:v>
                </c:pt>
                <c:pt idx="13">
                  <c:v>0.11</c:v>
                </c:pt>
                <c:pt idx="14">
                  <c:v>0.9544999999999999</c:v>
                </c:pt>
                <c:pt idx="15">
                  <c:v>0.11</c:v>
                </c:pt>
                <c:pt idx="16">
                  <c:v>0.9544999999999999</c:v>
                </c:pt>
                <c:pt idx="17">
                  <c:v>0.11</c:v>
                </c:pt>
                <c:pt idx="18">
                  <c:v>0.9544999999999999</c:v>
                </c:pt>
                <c:pt idx="19">
                  <c:v>9.69E-2</c:v>
                </c:pt>
                <c:pt idx="20">
                  <c:v>0.9544999999999999</c:v>
                </c:pt>
                <c:pt idx="21">
                  <c:v>4.9000000000000002E-2</c:v>
                </c:pt>
                <c:pt idx="22">
                  <c:v>4.8000000000000001E-2</c:v>
                </c:pt>
                <c:pt idx="23">
                  <c:v>0.09</c:v>
                </c:pt>
                <c:pt idx="26">
                  <c:v>0.11</c:v>
                </c:pt>
                <c:pt idx="27">
                  <c:v>4.9000000000000002E-2</c:v>
                </c:pt>
                <c:pt idx="28">
                  <c:v>0.11</c:v>
                </c:pt>
                <c:pt idx="29">
                  <c:v>0.9544999999999999</c:v>
                </c:pt>
                <c:pt idx="30">
                  <c:v>0.11</c:v>
                </c:pt>
                <c:pt idx="31">
                  <c:v>0.9544999999999999</c:v>
                </c:pt>
                <c:pt idx="32">
                  <c:v>0.9544999999999999</c:v>
                </c:pt>
                <c:pt idx="33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overlap val="-100"/>
        <c:axId val="135287160"/>
        <c:axId val="135283240"/>
      </c:barChart>
      <c:catAx>
        <c:axId val="135285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35289904"/>
        <c:crosses val="autoZero"/>
        <c:auto val="1"/>
        <c:lblAlgn val="ctr"/>
        <c:lblOffset val="100"/>
        <c:noMultiLvlLbl val="0"/>
      </c:catAx>
      <c:valAx>
        <c:axId val="135289904"/>
        <c:scaling>
          <c:orientation val="minMax"/>
          <c:max val="3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W/K</a:t>
                </a:r>
              </a:p>
            </c:rich>
          </c:tx>
          <c:layout>
            <c:manualLayout>
              <c:xMode val="edge"/>
              <c:yMode val="edge"/>
              <c:x val="1.6500248440185602E-2"/>
              <c:y val="0.36345212404005056"/>
            </c:manualLayout>
          </c:layout>
          <c:overlay val="0"/>
          <c:spPr>
            <a:solidFill>
              <a:schemeClr val="accent2"/>
            </a:solidFill>
          </c:spPr>
        </c:title>
        <c:numFmt formatCode="0.00" sourceLinked="1"/>
        <c:majorTickMark val="out"/>
        <c:minorTickMark val="none"/>
        <c:tickLblPos val="nextTo"/>
        <c:crossAx val="135285200"/>
        <c:crosses val="autoZero"/>
        <c:crossBetween val="between"/>
      </c:valAx>
      <c:valAx>
        <c:axId val="135283240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U*koeficient polohy</a:t>
                </a:r>
              </a:p>
            </c:rich>
          </c:tx>
          <c:layout>
            <c:manualLayout>
              <c:xMode val="edge"/>
              <c:yMode val="edge"/>
              <c:x val="0.95283217832301681"/>
              <c:y val="0.29535825799552828"/>
            </c:manualLayout>
          </c:layout>
          <c:overlay val="0"/>
          <c:spPr>
            <a:solidFill>
              <a:schemeClr val="tx2">
                <a:lumMod val="60000"/>
                <a:lumOff val="40000"/>
              </a:schemeClr>
            </a:solidFill>
          </c:spPr>
        </c:title>
        <c:numFmt formatCode="0.00" sourceLinked="1"/>
        <c:majorTickMark val="out"/>
        <c:minorTickMark val="none"/>
        <c:tickLblPos val="nextTo"/>
        <c:crossAx val="135287160"/>
        <c:crosses val="max"/>
        <c:crossBetween val="between"/>
      </c:valAx>
      <c:catAx>
        <c:axId val="1352871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528324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860054293399237"/>
          <c:y val="5.1441080975989109E-2"/>
          <c:w val="0.19270588634783378"/>
          <c:h val="7.1438670166229221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68643850846752"/>
          <c:y val="2.1930903081559251E-2"/>
          <c:w val="0.78432221723779616"/>
          <c:h val="0.72418812092932827"/>
        </c:manualLayout>
      </c:layout>
      <c:barChart>
        <c:barDir val="col"/>
        <c:grouping val="clustered"/>
        <c:varyColors val="0"/>
        <c:ser>
          <c:idx val="1"/>
          <c:order val="1"/>
          <c:tx>
            <c:v>Absolutni ztraty prvkem</c:v>
          </c:tx>
          <c:invertIfNegative val="0"/>
          <c:cat>
            <c:strRef>
              <c:f>'05Optimalizace'!$B$3:$B$36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'05Optimalizace'!$J$3:$J$36</c:f>
              <c:numCache>
                <c:formatCode>0.00</c:formatCode>
                <c:ptCount val="34"/>
                <c:pt idx="0">
                  <c:v>0</c:v>
                </c:pt>
                <c:pt idx="1">
                  <c:v>1.5174500000000002</c:v>
                </c:pt>
                <c:pt idx="2">
                  <c:v>3.5966000000000009</c:v>
                </c:pt>
                <c:pt idx="3">
                  <c:v>5.3232464999999998</c:v>
                </c:pt>
                <c:pt idx="4">
                  <c:v>3.2832100000000008</c:v>
                </c:pt>
                <c:pt idx="5">
                  <c:v>2.5263539999999995</c:v>
                </c:pt>
                <c:pt idx="6">
                  <c:v>1.6233600000000001</c:v>
                </c:pt>
                <c:pt idx="9">
                  <c:v>0.62204999999999999</c:v>
                </c:pt>
                <c:pt idx="10">
                  <c:v>1.4317499999999999</c:v>
                </c:pt>
                <c:pt idx="11">
                  <c:v>4.5338749999999992</c:v>
                </c:pt>
                <c:pt idx="12">
                  <c:v>1.4553000000000003</c:v>
                </c:pt>
                <c:pt idx="13">
                  <c:v>0.90584999999999993</c:v>
                </c:pt>
                <c:pt idx="14">
                  <c:v>2.5055624999999999</c:v>
                </c:pt>
                <c:pt idx="15">
                  <c:v>0.42570000000000013</c:v>
                </c:pt>
                <c:pt idx="16">
                  <c:v>4.2952499999999993</c:v>
                </c:pt>
                <c:pt idx="17">
                  <c:v>0.75570000000000015</c:v>
                </c:pt>
                <c:pt idx="18">
                  <c:v>1.4317499999999999</c:v>
                </c:pt>
                <c:pt idx="19">
                  <c:v>2.8256040000000002</c:v>
                </c:pt>
                <c:pt idx="20">
                  <c:v>4.5338749999999992</c:v>
                </c:pt>
                <c:pt idx="21">
                  <c:v>1.0505600000000002</c:v>
                </c:pt>
                <c:pt idx="22">
                  <c:v>3.99912</c:v>
                </c:pt>
                <c:pt idx="23">
                  <c:v>2.7355499999999999</c:v>
                </c:pt>
                <c:pt idx="26">
                  <c:v>1.3480500000000002</c:v>
                </c:pt>
                <c:pt idx="27">
                  <c:v>0.70829500000000012</c:v>
                </c:pt>
                <c:pt idx="28">
                  <c:v>2.5146000000000002</c:v>
                </c:pt>
                <c:pt idx="29">
                  <c:v>8.5904999999999987</c:v>
                </c:pt>
                <c:pt idx="30">
                  <c:v>2.3496000000000001</c:v>
                </c:pt>
                <c:pt idx="31">
                  <c:v>8.5904999999999987</c:v>
                </c:pt>
                <c:pt idx="32">
                  <c:v>1.4317499999999999</c:v>
                </c:pt>
                <c:pt idx="33">
                  <c:v>3.7044000000000006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"/>
        <c:overlap val="-58"/>
        <c:axId val="201779576"/>
        <c:axId val="201778792"/>
      </c:barChart>
      <c:barChart>
        <c:barDir val="col"/>
        <c:grouping val="clustered"/>
        <c:varyColors val="0"/>
        <c:ser>
          <c:idx val="0"/>
          <c:order val="0"/>
          <c:tx>
            <c:v>Kvalita prvku</c:v>
          </c:tx>
          <c:invertIfNegative val="0"/>
          <c:cat>
            <c:strRef>
              <c:f>'05Optimalizace'!$B$3:$B$36</c:f>
              <c:strCache>
                <c:ptCount val="34"/>
                <c:pt idx="0">
                  <c:v>Obalka Stary domecek</c:v>
                </c:pt>
                <c:pt idx="1">
                  <c:v>Jizni stena</c:v>
                </c:pt>
                <c:pt idx="2">
                  <c:v>Z Stena</c:v>
                </c:pt>
                <c:pt idx="3">
                  <c:v>Z stena okna</c:v>
                </c:pt>
                <c:pt idx="4">
                  <c:v>S stena sousedka</c:v>
                </c:pt>
                <c:pt idx="5">
                  <c:v>Strop</c:v>
                </c:pt>
                <c:pt idx="6">
                  <c:v>Podlaha</c:v>
                </c:pt>
                <c:pt idx="8">
                  <c:v>Obalka prizemi pristavba</c:v>
                </c:pt>
                <c:pt idx="9">
                  <c:v>J stena zachod</c:v>
                </c:pt>
                <c:pt idx="10">
                  <c:v>J stena zachod okno</c:v>
                </c:pt>
                <c:pt idx="11">
                  <c:v>J stena vchod dvere</c:v>
                </c:pt>
                <c:pt idx="12">
                  <c:v>J stena sklad</c:v>
                </c:pt>
                <c:pt idx="13">
                  <c:v>Z stena sklad</c:v>
                </c:pt>
                <c:pt idx="14">
                  <c:v>Z stena sklad dvere</c:v>
                </c:pt>
                <c:pt idx="15">
                  <c:v>Z stena atrium</c:v>
                </c:pt>
                <c:pt idx="16">
                  <c:v>Z stena atrium okno</c:v>
                </c:pt>
                <c:pt idx="17">
                  <c:v>V stena atrium </c:v>
                </c:pt>
                <c:pt idx="18">
                  <c:v>V stena atrium okno</c:v>
                </c:pt>
                <c:pt idx="19">
                  <c:v>V stena spodek operka</c:v>
                </c:pt>
                <c:pt idx="20">
                  <c:v>S stena atrium okno</c:v>
                </c:pt>
                <c:pt idx="21">
                  <c:v>S stena spodek</c:v>
                </c:pt>
                <c:pt idx="22">
                  <c:v>podlaha</c:v>
                </c:pt>
                <c:pt idx="23">
                  <c:v>strop krcku</c:v>
                </c:pt>
                <c:pt idx="25">
                  <c:v>Obalka prvni patro pristavba</c:v>
                </c:pt>
                <c:pt idx="26">
                  <c:v>J stena</c:v>
                </c:pt>
                <c:pt idx="27">
                  <c:v>S stena</c:v>
                </c:pt>
                <c:pt idx="28">
                  <c:v>Z stena </c:v>
                </c:pt>
                <c:pt idx="29">
                  <c:v>Z stena okno francouzske</c:v>
                </c:pt>
                <c:pt idx="30">
                  <c:v>V stena</c:v>
                </c:pt>
                <c:pt idx="31">
                  <c:v>V stena okno francouzske</c:v>
                </c:pt>
                <c:pt idx="32">
                  <c:v>V stena okno zachod</c:v>
                </c:pt>
                <c:pt idx="33">
                  <c:v>strop/strecha</c:v>
                </c:pt>
              </c:strCache>
            </c:strRef>
          </c:cat>
          <c:val>
            <c:numRef>
              <c:f>'05Optimalizace'!$I$3:$I$36</c:f>
              <c:numCache>
                <c:formatCode>0.00</c:formatCode>
                <c:ptCount val="34"/>
                <c:pt idx="0">
                  <c:v>0</c:v>
                </c:pt>
                <c:pt idx="1">
                  <c:v>0.11</c:v>
                </c:pt>
                <c:pt idx="2">
                  <c:v>0.2</c:v>
                </c:pt>
                <c:pt idx="3">
                  <c:v>0.9544999999999999</c:v>
                </c:pt>
                <c:pt idx="4">
                  <c:v>0.23800000000000002</c:v>
                </c:pt>
                <c:pt idx="5">
                  <c:v>7.4699999999999989E-2</c:v>
                </c:pt>
                <c:pt idx="6">
                  <c:v>4.8000000000000001E-2</c:v>
                </c:pt>
                <c:pt idx="9">
                  <c:v>0.11</c:v>
                </c:pt>
                <c:pt idx="10">
                  <c:v>0.9544999999999999</c:v>
                </c:pt>
                <c:pt idx="11">
                  <c:v>0.9544999999999999</c:v>
                </c:pt>
                <c:pt idx="12">
                  <c:v>0.11</c:v>
                </c:pt>
                <c:pt idx="13">
                  <c:v>0.11</c:v>
                </c:pt>
                <c:pt idx="14">
                  <c:v>0.9544999999999999</c:v>
                </c:pt>
                <c:pt idx="15">
                  <c:v>0.11</c:v>
                </c:pt>
                <c:pt idx="16">
                  <c:v>0.9544999999999999</c:v>
                </c:pt>
                <c:pt idx="17">
                  <c:v>0.11</c:v>
                </c:pt>
                <c:pt idx="18">
                  <c:v>0.9544999999999999</c:v>
                </c:pt>
                <c:pt idx="19">
                  <c:v>9.69E-2</c:v>
                </c:pt>
                <c:pt idx="20">
                  <c:v>0.9544999999999999</c:v>
                </c:pt>
                <c:pt idx="21">
                  <c:v>4.9000000000000002E-2</c:v>
                </c:pt>
                <c:pt idx="22">
                  <c:v>4.8000000000000001E-2</c:v>
                </c:pt>
                <c:pt idx="23">
                  <c:v>0.09</c:v>
                </c:pt>
                <c:pt idx="26">
                  <c:v>0.11</c:v>
                </c:pt>
                <c:pt idx="27">
                  <c:v>4.9000000000000002E-2</c:v>
                </c:pt>
                <c:pt idx="28">
                  <c:v>0.11</c:v>
                </c:pt>
                <c:pt idx="29">
                  <c:v>0.9544999999999999</c:v>
                </c:pt>
                <c:pt idx="30">
                  <c:v>0.11</c:v>
                </c:pt>
                <c:pt idx="31">
                  <c:v>0.9544999999999999</c:v>
                </c:pt>
                <c:pt idx="32">
                  <c:v>0.9544999999999999</c:v>
                </c:pt>
                <c:pt idx="33">
                  <c:v>7.0000000000000007E-2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3"/>
        <c:overlap val="-100"/>
        <c:axId val="201779968"/>
        <c:axId val="201783104"/>
      </c:barChart>
      <c:catAx>
        <c:axId val="2017795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1778792"/>
        <c:crosses val="autoZero"/>
        <c:auto val="1"/>
        <c:lblAlgn val="ctr"/>
        <c:lblOffset val="100"/>
        <c:noMultiLvlLbl val="0"/>
      </c:catAx>
      <c:valAx>
        <c:axId val="201778792"/>
        <c:scaling>
          <c:orientation val="minMax"/>
          <c:max val="30"/>
          <c:min val="0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W/K</a:t>
                </a:r>
              </a:p>
            </c:rich>
          </c:tx>
          <c:layout>
            <c:manualLayout>
              <c:xMode val="edge"/>
              <c:yMode val="edge"/>
              <c:x val="1.6500248440185602E-2"/>
              <c:y val="0.36345212404005056"/>
            </c:manualLayout>
          </c:layout>
          <c:overlay val="0"/>
          <c:spPr>
            <a:solidFill>
              <a:schemeClr val="accent2"/>
            </a:solidFill>
          </c:spPr>
        </c:title>
        <c:numFmt formatCode="0.00" sourceLinked="1"/>
        <c:majorTickMark val="out"/>
        <c:minorTickMark val="none"/>
        <c:tickLblPos val="nextTo"/>
        <c:crossAx val="201779576"/>
        <c:crosses val="autoZero"/>
        <c:crossBetween val="between"/>
      </c:valAx>
      <c:valAx>
        <c:axId val="201783104"/>
        <c:scaling>
          <c:orientation val="minMax"/>
          <c:max val="2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U*koeficient polohy</a:t>
                </a:r>
              </a:p>
            </c:rich>
          </c:tx>
          <c:layout>
            <c:manualLayout>
              <c:xMode val="edge"/>
              <c:yMode val="edge"/>
              <c:x val="0.95283217832301681"/>
              <c:y val="0.29535825799552828"/>
            </c:manualLayout>
          </c:layout>
          <c:overlay val="0"/>
          <c:spPr>
            <a:solidFill>
              <a:schemeClr val="tx2">
                <a:lumMod val="60000"/>
                <a:lumOff val="40000"/>
              </a:schemeClr>
            </a:solidFill>
          </c:spPr>
        </c:title>
        <c:numFmt formatCode="0.00" sourceLinked="1"/>
        <c:majorTickMark val="out"/>
        <c:minorTickMark val="none"/>
        <c:tickLblPos val="nextTo"/>
        <c:crossAx val="201779968"/>
        <c:crosses val="max"/>
        <c:crossBetween val="between"/>
      </c:valAx>
      <c:catAx>
        <c:axId val="2017799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178310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6860054293399237"/>
          <c:y val="5.1441080975989109E-2"/>
          <c:w val="0.19270588634783378"/>
          <c:h val="7.1438670166229221E-2"/>
        </c:manualLayout>
      </c:layout>
      <c:overlay val="0"/>
      <c:spPr>
        <a:solidFill>
          <a:schemeClr val="bg1"/>
        </a:solidFill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2</xdr:row>
      <xdr:rowOff>104775</xdr:rowOff>
    </xdr:from>
    <xdr:to>
      <xdr:col>25</xdr:col>
      <xdr:colOff>204787</xdr:colOff>
      <xdr:row>36</xdr:row>
      <xdr:rowOff>57150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2</xdr:row>
      <xdr:rowOff>104775</xdr:rowOff>
    </xdr:from>
    <xdr:to>
      <xdr:col>25</xdr:col>
      <xdr:colOff>204787</xdr:colOff>
      <xdr:row>36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2</xdr:row>
      <xdr:rowOff>104775</xdr:rowOff>
    </xdr:from>
    <xdr:to>
      <xdr:col>25</xdr:col>
      <xdr:colOff>204787</xdr:colOff>
      <xdr:row>36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2</xdr:row>
      <xdr:rowOff>104775</xdr:rowOff>
    </xdr:from>
    <xdr:to>
      <xdr:col>25</xdr:col>
      <xdr:colOff>204787</xdr:colOff>
      <xdr:row>36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590549</xdr:colOff>
      <xdr:row>2</xdr:row>
      <xdr:rowOff>104775</xdr:rowOff>
    </xdr:from>
    <xdr:to>
      <xdr:col>25</xdr:col>
      <xdr:colOff>204787</xdr:colOff>
      <xdr:row>37</xdr:row>
      <xdr:rowOff>57150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="90" zoomScaleNormal="90" workbookViewId="0">
      <selection activeCell="B64" sqref="B64"/>
    </sheetView>
  </sheetViews>
  <sheetFormatPr defaultRowHeight="15" x14ac:dyDescent="0.25"/>
  <cols>
    <col min="2" max="2" width="29" customWidth="1"/>
    <col min="3" max="3" width="28.5703125" style="3" customWidth="1"/>
    <col min="4" max="4" width="29.28515625" style="3" customWidth="1"/>
    <col min="5" max="5" width="9.140625" style="3"/>
    <col min="6" max="6" width="0.85546875" style="17" customWidth="1"/>
    <col min="8" max="8" width="14" customWidth="1"/>
    <col min="9" max="10" width="9.140625" style="7"/>
    <col min="11" max="11" width="12" style="20" customWidth="1"/>
    <col min="12" max="12" width="11" customWidth="1"/>
  </cols>
  <sheetData>
    <row r="1" spans="1:12" x14ac:dyDescent="0.25">
      <c r="A1" s="12" t="s">
        <v>80</v>
      </c>
    </row>
    <row r="2" spans="1:12" x14ac:dyDescent="0.25">
      <c r="B2" s="1"/>
    </row>
    <row r="3" spans="1:12" x14ac:dyDescent="0.25">
      <c r="A3" t="s">
        <v>32</v>
      </c>
      <c r="B3" s="2" t="s">
        <v>0</v>
      </c>
      <c r="C3" s="3" t="s">
        <v>29</v>
      </c>
      <c r="D3" s="3" t="s">
        <v>30</v>
      </c>
      <c r="E3" s="3" t="s">
        <v>1</v>
      </c>
      <c r="G3" s="3" t="s">
        <v>36</v>
      </c>
      <c r="H3" s="3" t="s">
        <v>37</v>
      </c>
      <c r="I3" s="3" t="s">
        <v>38</v>
      </c>
      <c r="J3" s="3" t="s">
        <v>39</v>
      </c>
      <c r="K3" s="21" t="s">
        <v>78</v>
      </c>
      <c r="L3" s="3" t="s">
        <v>79</v>
      </c>
    </row>
    <row r="4" spans="1:12" x14ac:dyDescent="0.25">
      <c r="A4">
        <v>1</v>
      </c>
      <c r="B4" s="1" t="s">
        <v>2</v>
      </c>
      <c r="C4" s="3">
        <f>3.95+0.2+0.3</f>
        <v>4.45</v>
      </c>
      <c r="D4" s="3">
        <v>3.1</v>
      </c>
      <c r="E4" s="3">
        <f>C4*D4</f>
        <v>13.795000000000002</v>
      </c>
      <c r="G4">
        <f>G53</f>
        <v>1.7</v>
      </c>
      <c r="H4">
        <v>1</v>
      </c>
      <c r="I4" s="7">
        <f t="shared" ref="I4:I9" si="0">G4*H4</f>
        <v>1.7</v>
      </c>
      <c r="J4" s="7">
        <f t="shared" ref="J4:J9" si="1">I4*E4</f>
        <v>23.451500000000003</v>
      </c>
      <c r="K4" s="20">
        <f>H53*$E$4</f>
        <v>0</v>
      </c>
      <c r="L4" s="20">
        <f>I53*$E$4</f>
        <v>0</v>
      </c>
    </row>
    <row r="5" spans="1:12" x14ac:dyDescent="0.25">
      <c r="A5">
        <v>2</v>
      </c>
      <c r="B5" s="1" t="s">
        <v>3</v>
      </c>
      <c r="C5" s="3">
        <f>7.3+0.15+0.15</f>
        <v>7.6000000000000005</v>
      </c>
      <c r="D5" s="3">
        <v>3.1</v>
      </c>
      <c r="E5" s="3">
        <f>C5*D5-E6</f>
        <v>17.983000000000004</v>
      </c>
      <c r="G5">
        <f>G54</f>
        <v>1.4</v>
      </c>
      <c r="H5">
        <v>1</v>
      </c>
      <c r="I5" s="7">
        <f t="shared" si="0"/>
        <v>1.4</v>
      </c>
      <c r="J5" s="7">
        <f t="shared" si="1"/>
        <v>25.176200000000005</v>
      </c>
      <c r="K5" s="20">
        <f>H54*$E$5</f>
        <v>0</v>
      </c>
      <c r="L5" s="20">
        <f>I54*$E$5</f>
        <v>0</v>
      </c>
    </row>
    <row r="6" spans="1:12" s="4" customFormat="1" x14ac:dyDescent="0.25">
      <c r="A6" s="4">
        <v>3</v>
      </c>
      <c r="B6" s="5" t="s">
        <v>4</v>
      </c>
      <c r="C6" s="6">
        <v>1.65</v>
      </c>
      <c r="D6" s="6">
        <v>1.69</v>
      </c>
      <c r="E6" s="6">
        <f>2*D6*C6</f>
        <v>5.577</v>
      </c>
      <c r="F6" s="18"/>
      <c r="G6">
        <f>G55</f>
        <v>1.5</v>
      </c>
      <c r="H6">
        <v>1.1499999999999999</v>
      </c>
      <c r="I6" s="7">
        <f t="shared" si="0"/>
        <v>1.7249999999999999</v>
      </c>
      <c r="J6" s="7">
        <f t="shared" si="1"/>
        <v>9.6203249999999993</v>
      </c>
      <c r="K6" s="22">
        <f>H55*$E$6</f>
        <v>5019.3</v>
      </c>
      <c r="L6" s="22">
        <f>I55*$E$6</f>
        <v>557.70000000000005</v>
      </c>
    </row>
    <row r="7" spans="1:12" x14ac:dyDescent="0.25">
      <c r="A7">
        <v>4</v>
      </c>
      <c r="B7" s="1" t="s">
        <v>31</v>
      </c>
      <c r="C7" s="3">
        <f>3.95+0.2+0.3</f>
        <v>4.45</v>
      </c>
      <c r="D7" s="3">
        <v>3.1</v>
      </c>
      <c r="E7" s="3">
        <f>C7*D7</f>
        <v>13.795000000000002</v>
      </c>
      <c r="G7">
        <f>G56</f>
        <v>1.7</v>
      </c>
      <c r="H7">
        <v>0.14000000000000001</v>
      </c>
      <c r="I7" s="7">
        <f t="shared" si="0"/>
        <v>0.23800000000000002</v>
      </c>
      <c r="J7" s="7">
        <f t="shared" si="1"/>
        <v>3.2832100000000008</v>
      </c>
      <c r="K7" s="20">
        <f>H56*$E$7</f>
        <v>0</v>
      </c>
      <c r="L7" s="20">
        <f>I56*$E$7</f>
        <v>0</v>
      </c>
    </row>
    <row r="8" spans="1:12" x14ac:dyDescent="0.25">
      <c r="A8">
        <v>5</v>
      </c>
      <c r="B8" s="1" t="s">
        <v>5</v>
      </c>
      <c r="C8" s="3">
        <f>C5</f>
        <v>7.6000000000000005</v>
      </c>
      <c r="D8" s="3">
        <f>C4</f>
        <v>4.45</v>
      </c>
      <c r="E8" s="3">
        <f>C8*D8</f>
        <v>33.82</v>
      </c>
      <c r="G8">
        <f>G52</f>
        <v>0.09</v>
      </c>
      <c r="H8">
        <v>0.83</v>
      </c>
      <c r="I8" s="7">
        <f t="shared" si="0"/>
        <v>7.4699999999999989E-2</v>
      </c>
      <c r="J8" s="7">
        <f t="shared" si="1"/>
        <v>2.5263539999999995</v>
      </c>
      <c r="K8" s="20">
        <f>H52*$E$8</f>
        <v>16233.6</v>
      </c>
      <c r="L8" s="20">
        <f>I52*$E$8</f>
        <v>16910</v>
      </c>
    </row>
    <row r="9" spans="1:12" x14ac:dyDescent="0.25">
      <c r="A9">
        <v>6</v>
      </c>
      <c r="B9" s="1" t="s">
        <v>6</v>
      </c>
      <c r="C9" s="3">
        <f>C8</f>
        <v>7.6000000000000005</v>
      </c>
      <c r="D9" s="3">
        <f>D8</f>
        <v>4.45</v>
      </c>
      <c r="E9" s="3">
        <f>C9*D9</f>
        <v>33.82</v>
      </c>
      <c r="G9">
        <f>G49</f>
        <v>0.17</v>
      </c>
      <c r="H9">
        <v>0.4</v>
      </c>
      <c r="I9" s="7">
        <f t="shared" si="0"/>
        <v>6.8000000000000005E-2</v>
      </c>
      <c r="J9" s="7">
        <f t="shared" si="1"/>
        <v>2.29976</v>
      </c>
      <c r="K9" s="20">
        <f>H49*$E$9</f>
        <v>20292</v>
      </c>
      <c r="L9" s="20">
        <f>I49*$E$9</f>
        <v>9334.32</v>
      </c>
    </row>
    <row r="10" spans="1:12" x14ac:dyDescent="0.25">
      <c r="B10" s="1"/>
      <c r="L10" s="20"/>
    </row>
    <row r="11" spans="1:12" x14ac:dyDescent="0.25">
      <c r="B11" s="2" t="s">
        <v>7</v>
      </c>
      <c r="L11" s="20"/>
    </row>
    <row r="12" spans="1:12" x14ac:dyDescent="0.25">
      <c r="A12">
        <v>7</v>
      </c>
      <c r="B12" s="1" t="s">
        <v>8</v>
      </c>
      <c r="C12" s="3">
        <v>2.65</v>
      </c>
      <c r="D12" s="3">
        <v>2.7</v>
      </c>
      <c r="E12" s="3">
        <f>C12*D12-E13</f>
        <v>5.6550000000000002</v>
      </c>
      <c r="G12">
        <f>$G$47</f>
        <v>0.11</v>
      </c>
      <c r="H12">
        <v>1</v>
      </c>
      <c r="I12" s="7">
        <f t="shared" ref="I12:I26" si="2">G12*H12</f>
        <v>0.11</v>
      </c>
      <c r="J12" s="7">
        <f t="shared" ref="J12:J26" si="3">I12*E12</f>
        <v>0.62204999999999999</v>
      </c>
      <c r="K12" s="20">
        <f>H$47*$E$12</f>
        <v>8267.61</v>
      </c>
      <c r="L12" s="20">
        <f>I$47*$E$12</f>
        <v>4416.5550000000003</v>
      </c>
    </row>
    <row r="13" spans="1:12" s="4" customFormat="1" x14ac:dyDescent="0.25">
      <c r="A13" s="4">
        <v>8</v>
      </c>
      <c r="B13" s="5" t="s">
        <v>9</v>
      </c>
      <c r="C13" s="6">
        <v>0.6</v>
      </c>
      <c r="D13" s="6">
        <v>2.5</v>
      </c>
      <c r="E13" s="6">
        <f>C13*D13</f>
        <v>1.5</v>
      </c>
      <c r="F13" s="18"/>
      <c r="G13">
        <f>$G$48</f>
        <v>0.83</v>
      </c>
      <c r="H13">
        <v>1.1499999999999999</v>
      </c>
      <c r="I13" s="7">
        <f t="shared" si="2"/>
        <v>0.9544999999999999</v>
      </c>
      <c r="J13" s="7">
        <f t="shared" si="3"/>
        <v>1.4317499999999999</v>
      </c>
      <c r="K13" s="22">
        <f>H$48*$E$13</f>
        <v>12153.35463258786</v>
      </c>
      <c r="L13" s="22">
        <f>I$48*$E$13</f>
        <v>0</v>
      </c>
    </row>
    <row r="14" spans="1:12" s="4" customFormat="1" x14ac:dyDescent="0.25">
      <c r="A14" s="4">
        <v>9</v>
      </c>
      <c r="B14" s="5" t="s">
        <v>10</v>
      </c>
      <c r="C14" s="6">
        <v>1.9</v>
      </c>
      <c r="D14" s="6">
        <v>2.5</v>
      </c>
      <c r="E14" s="6">
        <f>C14*D14</f>
        <v>4.75</v>
      </c>
      <c r="F14" s="18"/>
      <c r="G14">
        <f>$G$48</f>
        <v>0.83</v>
      </c>
      <c r="H14">
        <v>1.1499999999999999</v>
      </c>
      <c r="I14" s="7">
        <f t="shared" si="2"/>
        <v>0.9544999999999999</v>
      </c>
      <c r="J14" s="7">
        <f t="shared" si="3"/>
        <v>4.5338749999999992</v>
      </c>
      <c r="K14" s="22">
        <f>H$48*$E$14</f>
        <v>38485.623003194887</v>
      </c>
      <c r="L14" s="22">
        <f>I$48*$E$14</f>
        <v>0</v>
      </c>
    </row>
    <row r="15" spans="1:12" x14ac:dyDescent="0.25">
      <c r="A15">
        <v>10</v>
      </c>
      <c r="B15" s="1" t="s">
        <v>11</v>
      </c>
      <c r="C15" s="3">
        <f>4.4+0.25+0.25</f>
        <v>4.9000000000000004</v>
      </c>
      <c r="D15" s="3">
        <v>2.7</v>
      </c>
      <c r="E15" s="3">
        <f>C15*D15</f>
        <v>13.230000000000002</v>
      </c>
      <c r="G15">
        <f>$G$47</f>
        <v>0.11</v>
      </c>
      <c r="H15">
        <v>1</v>
      </c>
      <c r="I15" s="7">
        <f t="shared" si="2"/>
        <v>0.11</v>
      </c>
      <c r="J15" s="7">
        <f t="shared" si="3"/>
        <v>1.4553000000000003</v>
      </c>
      <c r="K15" s="20">
        <f>H$47*$E$15</f>
        <v>19342.260000000002</v>
      </c>
      <c r="L15" s="20">
        <f>I$47*$E$15</f>
        <v>10332.630000000001</v>
      </c>
    </row>
    <row r="16" spans="1:12" x14ac:dyDescent="0.25">
      <c r="A16">
        <v>11</v>
      </c>
      <c r="B16" s="1" t="s">
        <v>12</v>
      </c>
      <c r="C16" s="3">
        <f>3.3-0.25</f>
        <v>3.05</v>
      </c>
      <c r="D16" s="3">
        <v>2.7</v>
      </c>
      <c r="E16" s="3">
        <f>C16*D16</f>
        <v>8.2349999999999994</v>
      </c>
      <c r="G16">
        <f>$G$47</f>
        <v>0.11</v>
      </c>
      <c r="H16">
        <v>1</v>
      </c>
      <c r="I16" s="7">
        <f t="shared" si="2"/>
        <v>0.11</v>
      </c>
      <c r="J16" s="7">
        <f t="shared" si="3"/>
        <v>0.90584999999999993</v>
      </c>
      <c r="K16" s="20">
        <f>H$47*$E$16</f>
        <v>12039.57</v>
      </c>
      <c r="L16" s="20">
        <f>I$47*$E$16</f>
        <v>6431.5349999999999</v>
      </c>
    </row>
    <row r="17" spans="1:12" s="4" customFormat="1" x14ac:dyDescent="0.25">
      <c r="A17" s="4">
        <v>12</v>
      </c>
      <c r="B17" s="5" t="s">
        <v>13</v>
      </c>
      <c r="C17" s="6">
        <v>1.05</v>
      </c>
      <c r="D17" s="6">
        <v>2.5</v>
      </c>
      <c r="E17" s="6">
        <f>C17*D17</f>
        <v>2.625</v>
      </c>
      <c r="F17" s="18"/>
      <c r="G17">
        <f>$G$48</f>
        <v>0.83</v>
      </c>
      <c r="H17">
        <v>1.1499999999999999</v>
      </c>
      <c r="I17" s="7">
        <f t="shared" si="2"/>
        <v>0.9544999999999999</v>
      </c>
      <c r="J17" s="7">
        <f t="shared" si="3"/>
        <v>2.5055624999999999</v>
      </c>
      <c r="K17" s="22">
        <f>H$48*$E$17</f>
        <v>21268.370607028755</v>
      </c>
      <c r="L17" s="22">
        <f>I$48*$E$17</f>
        <v>0</v>
      </c>
    </row>
    <row r="18" spans="1:12" x14ac:dyDescent="0.25">
      <c r="A18">
        <v>13</v>
      </c>
      <c r="B18" s="1" t="s">
        <v>14</v>
      </c>
      <c r="C18" s="3">
        <v>3.1</v>
      </c>
      <c r="D18" s="3">
        <v>2.7</v>
      </c>
      <c r="E18" s="3">
        <f>C18*D18-E19</f>
        <v>3.870000000000001</v>
      </c>
      <c r="G18">
        <f>$G$47</f>
        <v>0.11</v>
      </c>
      <c r="H18">
        <v>1</v>
      </c>
      <c r="I18" s="7">
        <f t="shared" si="2"/>
        <v>0.11</v>
      </c>
      <c r="J18" s="7">
        <f t="shared" si="3"/>
        <v>0.42570000000000013</v>
      </c>
      <c r="K18" s="20">
        <f>H$47*$E$18</f>
        <v>5657.9400000000014</v>
      </c>
      <c r="L18" s="20">
        <f>I$47*$E$18</f>
        <v>3022.4700000000007</v>
      </c>
    </row>
    <row r="19" spans="1:12" s="4" customFormat="1" x14ac:dyDescent="0.25">
      <c r="A19" s="4">
        <v>14</v>
      </c>
      <c r="B19" s="5" t="s">
        <v>15</v>
      </c>
      <c r="C19" s="6">
        <v>1.8</v>
      </c>
      <c r="D19" s="6">
        <v>2.5</v>
      </c>
      <c r="E19" s="6">
        <f>C19*D19</f>
        <v>4.5</v>
      </c>
      <c r="F19" s="18"/>
      <c r="G19">
        <f>$G$48</f>
        <v>0.83</v>
      </c>
      <c r="H19">
        <v>1.1499999999999999</v>
      </c>
      <c r="I19" s="7">
        <f t="shared" si="2"/>
        <v>0.9544999999999999</v>
      </c>
      <c r="J19" s="7">
        <f t="shared" si="3"/>
        <v>4.2952499999999993</v>
      </c>
      <c r="K19" s="22">
        <f>H$48*$E$19</f>
        <v>36460.063897763583</v>
      </c>
      <c r="L19" s="22">
        <f>I$48*$E$19</f>
        <v>0</v>
      </c>
    </row>
    <row r="20" spans="1:12" x14ac:dyDescent="0.25">
      <c r="A20">
        <v>15</v>
      </c>
      <c r="B20" s="1" t="s">
        <v>16</v>
      </c>
      <c r="C20" s="3">
        <v>3.1</v>
      </c>
      <c r="D20" s="3">
        <v>2.7</v>
      </c>
      <c r="E20" s="3">
        <f>C20*D20-E21</f>
        <v>6.870000000000001</v>
      </c>
      <c r="G20">
        <f>$G$47</f>
        <v>0.11</v>
      </c>
      <c r="H20">
        <v>1</v>
      </c>
      <c r="I20" s="7">
        <f t="shared" si="2"/>
        <v>0.11</v>
      </c>
      <c r="J20" s="7">
        <f t="shared" si="3"/>
        <v>0.75570000000000015</v>
      </c>
      <c r="K20" s="20">
        <f>H$47*$E$20</f>
        <v>10043.940000000002</v>
      </c>
      <c r="L20" s="20">
        <f>I$47*$E$20</f>
        <v>5365.4700000000012</v>
      </c>
    </row>
    <row r="21" spans="1:12" s="4" customFormat="1" x14ac:dyDescent="0.25">
      <c r="A21" s="4">
        <v>16</v>
      </c>
      <c r="B21" s="5" t="s">
        <v>17</v>
      </c>
      <c r="C21" s="6">
        <v>0.6</v>
      </c>
      <c r="D21" s="6">
        <v>2.5</v>
      </c>
      <c r="E21" s="6">
        <f>C21*D21</f>
        <v>1.5</v>
      </c>
      <c r="F21" s="18"/>
      <c r="G21">
        <f>$G$48</f>
        <v>0.83</v>
      </c>
      <c r="H21">
        <v>1.1499999999999999</v>
      </c>
      <c r="I21" s="7">
        <f t="shared" si="2"/>
        <v>0.9544999999999999</v>
      </c>
      <c r="J21" s="7">
        <f t="shared" si="3"/>
        <v>1.4317499999999999</v>
      </c>
      <c r="K21" s="22">
        <f>H$48*$E$21</f>
        <v>12153.35463258786</v>
      </c>
      <c r="L21" s="22">
        <f>I$48*$E$21</f>
        <v>0</v>
      </c>
    </row>
    <row r="22" spans="1:12" x14ac:dyDescent="0.25">
      <c r="A22">
        <v>17</v>
      </c>
      <c r="B22" s="1" t="s">
        <v>34</v>
      </c>
      <c r="C22" s="3">
        <f>11.2-0.15-0.25</f>
        <v>10.799999999999999</v>
      </c>
      <c r="D22" s="3">
        <v>2.7</v>
      </c>
      <c r="E22" s="3">
        <f>C22*D22</f>
        <v>29.16</v>
      </c>
      <c r="G22">
        <f>G59</f>
        <v>0.17</v>
      </c>
      <c r="H22">
        <v>0.56999999999999995</v>
      </c>
      <c r="I22" s="7">
        <f t="shared" si="2"/>
        <v>9.69E-2</v>
      </c>
      <c r="J22" s="7">
        <f t="shared" si="3"/>
        <v>2.8256040000000002</v>
      </c>
      <c r="K22" s="20">
        <f>H59*$E$22</f>
        <v>50942.52</v>
      </c>
      <c r="L22" s="20">
        <f>I59*$E$22</f>
        <v>29801.52</v>
      </c>
    </row>
    <row r="23" spans="1:12" s="4" customFormat="1" x14ac:dyDescent="0.25">
      <c r="A23" s="4">
        <v>18</v>
      </c>
      <c r="B23" s="5" t="s">
        <v>35</v>
      </c>
      <c r="C23" s="6">
        <v>1.9</v>
      </c>
      <c r="D23" s="6">
        <v>2.5</v>
      </c>
      <c r="E23" s="6">
        <f>C23*D23</f>
        <v>4.75</v>
      </c>
      <c r="F23" s="18"/>
      <c r="G23">
        <f>$G$48</f>
        <v>0.83</v>
      </c>
      <c r="H23">
        <v>1.1499999999999999</v>
      </c>
      <c r="I23" s="7">
        <f t="shared" si="2"/>
        <v>0.9544999999999999</v>
      </c>
      <c r="J23" s="7">
        <f t="shared" si="3"/>
        <v>4.5338749999999992</v>
      </c>
      <c r="K23" s="22">
        <f>H$48*$E$23</f>
        <v>38485.623003194887</v>
      </c>
      <c r="L23" s="22">
        <f>I$48*$E$23</f>
        <v>0</v>
      </c>
    </row>
    <row r="24" spans="1:12" x14ac:dyDescent="0.25">
      <c r="A24">
        <v>19</v>
      </c>
      <c r="B24" s="1" t="s">
        <v>18</v>
      </c>
      <c r="C24" s="3">
        <f>9.95-0.25</f>
        <v>9.6999999999999993</v>
      </c>
      <c r="D24" s="3">
        <v>2.7</v>
      </c>
      <c r="E24" s="3">
        <f>C24*D24-E23</f>
        <v>21.44</v>
      </c>
      <c r="G24">
        <f>G58</f>
        <v>0.35</v>
      </c>
      <c r="H24">
        <v>0.14000000000000001</v>
      </c>
      <c r="I24" s="7">
        <f t="shared" si="2"/>
        <v>4.9000000000000002E-2</v>
      </c>
      <c r="J24" s="7">
        <f t="shared" si="3"/>
        <v>1.0505600000000002</v>
      </c>
      <c r="K24" s="20">
        <f>H58*$E$24</f>
        <v>19939.2</v>
      </c>
      <c r="L24" s="20">
        <f>I58*$E$24</f>
        <v>16744.64</v>
      </c>
    </row>
    <row r="25" spans="1:12" x14ac:dyDescent="0.25">
      <c r="A25">
        <v>20</v>
      </c>
      <c r="B25" s="1" t="s">
        <v>19</v>
      </c>
      <c r="E25" s="3">
        <f>C22*C15+E26</f>
        <v>83.314999999999998</v>
      </c>
      <c r="G25">
        <f>G49</f>
        <v>0.17</v>
      </c>
      <c r="H25">
        <v>0.4</v>
      </c>
      <c r="I25" s="7">
        <f t="shared" si="2"/>
        <v>6.8000000000000005E-2</v>
      </c>
      <c r="J25" s="7">
        <f t="shared" si="3"/>
        <v>5.6654200000000001</v>
      </c>
      <c r="K25" s="20">
        <f>H49*$E$25</f>
        <v>49989</v>
      </c>
      <c r="L25" s="20">
        <f>I49*$E$25</f>
        <v>22994.94</v>
      </c>
    </row>
    <row r="26" spans="1:12" x14ac:dyDescent="0.25">
      <c r="A26">
        <v>21</v>
      </c>
      <c r="B26" s="1" t="s">
        <v>33</v>
      </c>
      <c r="E26" s="3">
        <f>7.9*4.75-3.1*2.3</f>
        <v>30.395</v>
      </c>
      <c r="G26">
        <f>G50</f>
        <v>0.09</v>
      </c>
      <c r="H26">
        <v>1</v>
      </c>
      <c r="I26" s="7">
        <f t="shared" si="2"/>
        <v>0.09</v>
      </c>
      <c r="J26" s="7">
        <f t="shared" si="3"/>
        <v>2.7355499999999999</v>
      </c>
      <c r="K26" s="20">
        <f>H50*$E$26</f>
        <v>26838.785</v>
      </c>
      <c r="L26" s="20">
        <f>I50*$E$26</f>
        <v>15197.5</v>
      </c>
    </row>
    <row r="27" spans="1:12" x14ac:dyDescent="0.25">
      <c r="B27" s="1"/>
      <c r="L27" s="20"/>
    </row>
    <row r="28" spans="1:12" x14ac:dyDescent="0.25">
      <c r="B28" s="2" t="s">
        <v>20</v>
      </c>
      <c r="L28" s="20"/>
    </row>
    <row r="29" spans="1:12" x14ac:dyDescent="0.25">
      <c r="A29">
        <v>22</v>
      </c>
      <c r="B29" s="1" t="s">
        <v>21</v>
      </c>
      <c r="C29" s="3">
        <f>4.4+0.25+0.25</f>
        <v>4.9000000000000004</v>
      </c>
      <c r="D29" s="3">
        <v>2.95</v>
      </c>
      <c r="E29" s="3">
        <f>C29*D29</f>
        <v>14.455000000000002</v>
      </c>
      <c r="G29">
        <f>$G$47</f>
        <v>0.11</v>
      </c>
      <c r="H29">
        <v>1</v>
      </c>
      <c r="I29" s="7">
        <f t="shared" ref="I29:I36" si="4">G29*H29</f>
        <v>0.11</v>
      </c>
      <c r="J29" s="7">
        <f t="shared" ref="J29:J36" si="5">I29*E29</f>
        <v>1.5900500000000002</v>
      </c>
      <c r="K29" s="20">
        <f>H$47*$E$29</f>
        <v>21133.210000000003</v>
      </c>
      <c r="L29" s="20">
        <f>I$47*$E$29</f>
        <v>11289.355000000001</v>
      </c>
    </row>
    <row r="30" spans="1:12" x14ac:dyDescent="0.25">
      <c r="A30">
        <v>23</v>
      </c>
      <c r="B30" s="1" t="s">
        <v>22</v>
      </c>
      <c r="C30" s="3">
        <f>4.4+0.25+0.25</f>
        <v>4.9000000000000004</v>
      </c>
      <c r="D30" s="3">
        <v>2.95</v>
      </c>
      <c r="E30" s="3">
        <f>C30*D30</f>
        <v>14.455000000000002</v>
      </c>
      <c r="G30">
        <f>G58</f>
        <v>0.35</v>
      </c>
      <c r="H30">
        <v>0.14000000000000001</v>
      </c>
      <c r="I30" s="7">
        <f t="shared" si="4"/>
        <v>4.9000000000000002E-2</v>
      </c>
      <c r="J30" s="7">
        <f t="shared" si="5"/>
        <v>0.70829500000000012</v>
      </c>
      <c r="K30" s="20">
        <f>H58*$E$30</f>
        <v>13443.150000000001</v>
      </c>
      <c r="L30" s="20">
        <f>I58*$E$30</f>
        <v>11289.355000000001</v>
      </c>
    </row>
    <row r="31" spans="1:12" x14ac:dyDescent="0.25">
      <c r="A31">
        <v>24</v>
      </c>
      <c r="B31" s="1" t="s">
        <v>23</v>
      </c>
      <c r="C31" s="3">
        <f>11.2-0.15-0.25</f>
        <v>10.799999999999999</v>
      </c>
      <c r="D31" s="3">
        <v>2.95</v>
      </c>
      <c r="E31" s="3">
        <f>C31*D31-E32</f>
        <v>22.86</v>
      </c>
      <c r="G31">
        <f>$G$47</f>
        <v>0.11</v>
      </c>
      <c r="H31">
        <v>1</v>
      </c>
      <c r="I31" s="7">
        <f t="shared" si="4"/>
        <v>0.11</v>
      </c>
      <c r="J31" s="7">
        <f t="shared" si="5"/>
        <v>2.5146000000000002</v>
      </c>
      <c r="K31" s="20">
        <f>H$47*$E$31</f>
        <v>33421.32</v>
      </c>
      <c r="L31" s="20">
        <f>I$47*$E$31</f>
        <v>17853.66</v>
      </c>
    </row>
    <row r="32" spans="1:12" s="4" customFormat="1" x14ac:dyDescent="0.25">
      <c r="A32" s="4">
        <v>25</v>
      </c>
      <c r="B32" s="5" t="s">
        <v>24</v>
      </c>
      <c r="C32" s="6">
        <v>3.6</v>
      </c>
      <c r="D32" s="6">
        <v>2.5</v>
      </c>
      <c r="E32" s="6">
        <f>C32*D32</f>
        <v>9</v>
      </c>
      <c r="F32" s="18"/>
      <c r="G32">
        <f>$G$48</f>
        <v>0.83</v>
      </c>
      <c r="H32">
        <v>1.1499999999999999</v>
      </c>
      <c r="I32" s="7">
        <f t="shared" si="4"/>
        <v>0.9544999999999999</v>
      </c>
      <c r="J32" s="7">
        <f t="shared" si="5"/>
        <v>8.5904999999999987</v>
      </c>
      <c r="K32" s="22">
        <f>H$48*$E$32</f>
        <v>72920.127795527165</v>
      </c>
      <c r="L32" s="22">
        <f>I$48*$E$32</f>
        <v>0</v>
      </c>
    </row>
    <row r="33" spans="1:12" x14ac:dyDescent="0.25">
      <c r="A33">
        <v>26</v>
      </c>
      <c r="B33" s="1" t="s">
        <v>25</v>
      </c>
      <c r="C33" s="3">
        <f>11.2-0.15-0.25</f>
        <v>10.799999999999999</v>
      </c>
      <c r="D33" s="3">
        <v>2.95</v>
      </c>
      <c r="E33" s="3">
        <f>C33*D33-E34-E35</f>
        <v>21.36</v>
      </c>
      <c r="G33">
        <f>$G$47</f>
        <v>0.11</v>
      </c>
      <c r="H33">
        <v>1</v>
      </c>
      <c r="I33" s="7">
        <f t="shared" si="4"/>
        <v>0.11</v>
      </c>
      <c r="J33" s="7">
        <f t="shared" si="5"/>
        <v>2.3496000000000001</v>
      </c>
      <c r="K33" s="20">
        <f>H$47*$E$33</f>
        <v>31228.32</v>
      </c>
      <c r="L33" s="20">
        <f>I$47*$E$33</f>
        <v>16682.16</v>
      </c>
    </row>
    <row r="34" spans="1:12" s="4" customFormat="1" x14ac:dyDescent="0.25">
      <c r="A34" s="4">
        <v>27</v>
      </c>
      <c r="B34" s="5" t="s">
        <v>26</v>
      </c>
      <c r="C34" s="6">
        <v>3.6</v>
      </c>
      <c r="D34" s="6">
        <v>2.5</v>
      </c>
      <c r="E34" s="6">
        <f>C34*D34</f>
        <v>9</v>
      </c>
      <c r="F34" s="18"/>
      <c r="G34">
        <f>$G$48</f>
        <v>0.83</v>
      </c>
      <c r="H34">
        <v>1.1499999999999999</v>
      </c>
      <c r="I34" s="7">
        <f t="shared" si="4"/>
        <v>0.9544999999999999</v>
      </c>
      <c r="J34" s="7">
        <f t="shared" si="5"/>
        <v>8.5904999999999987</v>
      </c>
      <c r="K34" s="22">
        <f>H$48*$E$34</f>
        <v>72920.127795527165</v>
      </c>
      <c r="L34" s="22">
        <f>I$48*$E$34</f>
        <v>0</v>
      </c>
    </row>
    <row r="35" spans="1:12" s="4" customFormat="1" x14ac:dyDescent="0.25">
      <c r="A35" s="4">
        <v>28</v>
      </c>
      <c r="B35" s="5" t="s">
        <v>27</v>
      </c>
      <c r="C35" s="6">
        <v>0.6</v>
      </c>
      <c r="D35" s="6">
        <v>2.5</v>
      </c>
      <c r="E35" s="6">
        <f>C35*D35</f>
        <v>1.5</v>
      </c>
      <c r="F35" s="18"/>
      <c r="G35">
        <f>$G$48</f>
        <v>0.83</v>
      </c>
      <c r="H35">
        <v>1.1499999999999999</v>
      </c>
      <c r="I35" s="7">
        <f t="shared" si="4"/>
        <v>0.9544999999999999</v>
      </c>
      <c r="J35" s="7">
        <f t="shared" si="5"/>
        <v>1.4317499999999999</v>
      </c>
      <c r="K35" s="22">
        <f>H$48*$E$35</f>
        <v>12153.35463258786</v>
      </c>
      <c r="L35" s="22">
        <f>I$48*$E$35</f>
        <v>0</v>
      </c>
    </row>
    <row r="36" spans="1:12" x14ac:dyDescent="0.25">
      <c r="A36">
        <v>29</v>
      </c>
      <c r="B36" s="1" t="s">
        <v>28</v>
      </c>
      <c r="C36" s="3">
        <f>C33</f>
        <v>10.799999999999999</v>
      </c>
      <c r="D36" s="3">
        <f>C29</f>
        <v>4.9000000000000004</v>
      </c>
      <c r="E36" s="3">
        <f>C36*D36</f>
        <v>52.92</v>
      </c>
      <c r="G36">
        <f>G51</f>
        <v>0.09</v>
      </c>
      <c r="H36">
        <v>1</v>
      </c>
      <c r="I36" s="7">
        <f t="shared" si="4"/>
        <v>0.09</v>
      </c>
      <c r="J36" s="7">
        <f t="shared" si="5"/>
        <v>4.7628000000000004</v>
      </c>
      <c r="K36" s="20">
        <f>H51*E$36</f>
        <v>46728.36</v>
      </c>
      <c r="L36" s="20">
        <f>I51*F$36</f>
        <v>0</v>
      </c>
    </row>
    <row r="37" spans="1:12" x14ac:dyDescent="0.25">
      <c r="B37" s="1"/>
      <c r="L37" s="20"/>
    </row>
    <row r="38" spans="1:12" x14ac:dyDescent="0.25">
      <c r="B38" s="2" t="s">
        <v>45</v>
      </c>
      <c r="E38" s="3">
        <f>SUM(E4:E37)</f>
        <v>486.13499999999993</v>
      </c>
      <c r="G38">
        <v>0.1</v>
      </c>
      <c r="H38">
        <v>1</v>
      </c>
      <c r="I38" s="7">
        <f>G38*H38</f>
        <v>0.1</v>
      </c>
      <c r="J38" s="7">
        <f>I38*E38</f>
        <v>48.613499999999995</v>
      </c>
      <c r="L38" s="20"/>
    </row>
    <row r="39" spans="1:12" x14ac:dyDescent="0.25">
      <c r="B39" s="2"/>
      <c r="L39" s="20"/>
    </row>
    <row r="40" spans="1:12" x14ac:dyDescent="0.25">
      <c r="B40" s="8"/>
      <c r="E40" s="24" t="s">
        <v>87</v>
      </c>
      <c r="G40" s="10">
        <f>J40/E38</f>
        <v>0.37167194400732312</v>
      </c>
      <c r="J40" s="9">
        <f>SUM(J4:J38)</f>
        <v>180.68274049999999</v>
      </c>
      <c r="K40" s="21">
        <f>SUM(K4:K38)</f>
        <v>707560.08500000008</v>
      </c>
      <c r="L40" s="21">
        <f>SUM(L4:L38)</f>
        <v>198223.81000000006</v>
      </c>
    </row>
    <row r="41" spans="1:12" x14ac:dyDescent="0.25">
      <c r="B41" s="1"/>
      <c r="K41" s="21" t="s">
        <v>81</v>
      </c>
      <c r="L41" s="16" t="s">
        <v>82</v>
      </c>
    </row>
    <row r="42" spans="1:12" x14ac:dyDescent="0.25">
      <c r="B42" s="1" t="s">
        <v>40</v>
      </c>
      <c r="C42" s="3" t="s">
        <v>41</v>
      </c>
      <c r="D42" s="3">
        <v>20</v>
      </c>
    </row>
    <row r="43" spans="1:12" x14ac:dyDescent="0.25">
      <c r="B43" s="1" t="s">
        <v>42</v>
      </c>
      <c r="C43" s="3" t="s">
        <v>41</v>
      </c>
      <c r="D43" s="3">
        <v>-12</v>
      </c>
      <c r="J43" s="9">
        <f>J40*D44</f>
        <v>5781.8476959999998</v>
      </c>
      <c r="K43" s="20" t="s">
        <v>44</v>
      </c>
    </row>
    <row r="44" spans="1:12" x14ac:dyDescent="0.25">
      <c r="B44" s="1" t="s">
        <v>43</v>
      </c>
      <c r="C44" s="3" t="s">
        <v>41</v>
      </c>
      <c r="D44" s="3">
        <f>D42-D43</f>
        <v>32</v>
      </c>
      <c r="J44" s="14">
        <f>91.47*0.337</f>
        <v>30.825390000000002</v>
      </c>
      <c r="K44" s="20" t="s">
        <v>88</v>
      </c>
    </row>
    <row r="46" spans="1:12" s="11" customFormat="1" x14ac:dyDescent="0.25">
      <c r="B46" s="2" t="s">
        <v>47</v>
      </c>
      <c r="C46" s="13" t="s">
        <v>48</v>
      </c>
      <c r="D46" s="13" t="s">
        <v>49</v>
      </c>
      <c r="E46" s="13"/>
      <c r="F46" s="19"/>
      <c r="G46" s="13" t="s">
        <v>36</v>
      </c>
      <c r="H46" s="13" t="s">
        <v>76</v>
      </c>
      <c r="I46" s="14" t="s">
        <v>77</v>
      </c>
      <c r="J46" s="14"/>
      <c r="K46" s="23"/>
    </row>
    <row r="47" spans="1:12" x14ac:dyDescent="0.25">
      <c r="B47" s="1" t="s">
        <v>46</v>
      </c>
      <c r="C47" s="15" t="s">
        <v>69</v>
      </c>
      <c r="D47" s="15" t="s">
        <v>68</v>
      </c>
      <c r="G47" s="16">
        <v>0.11</v>
      </c>
      <c r="H47" s="21">
        <f>770+692</f>
        <v>1462</v>
      </c>
      <c r="I47" s="20">
        <f>350+131+300</f>
        <v>781</v>
      </c>
    </row>
    <row r="48" spans="1:12" x14ac:dyDescent="0.25">
      <c r="B48" s="1" t="s">
        <v>50</v>
      </c>
      <c r="C48" s="15" t="s">
        <v>61</v>
      </c>
      <c r="D48" s="15"/>
      <c r="G48" s="16">
        <v>0.83</v>
      </c>
      <c r="H48" s="21">
        <f>317000/(E35+E34+E32+E23+E21+E19+E17+E14+E13)</f>
        <v>8102.2364217252398</v>
      </c>
      <c r="I48" s="20">
        <f>0</f>
        <v>0</v>
      </c>
    </row>
    <row r="49" spans="2:9" x14ac:dyDescent="0.25">
      <c r="B49" s="1" t="s">
        <v>51</v>
      </c>
      <c r="C49" s="15" t="s">
        <v>64</v>
      </c>
      <c r="D49" s="15" t="s">
        <v>67</v>
      </c>
      <c r="G49" s="16">
        <v>0.17</v>
      </c>
      <c r="H49" s="21">
        <f>2500*0.06+450</f>
        <v>600</v>
      </c>
      <c r="I49" s="20">
        <f>156+82+38</f>
        <v>276</v>
      </c>
    </row>
    <row r="50" spans="2:9" x14ac:dyDescent="0.25">
      <c r="B50" s="1" t="s">
        <v>52</v>
      </c>
      <c r="C50" s="15" t="s">
        <v>75</v>
      </c>
      <c r="D50" s="15" t="s">
        <v>74</v>
      </c>
      <c r="G50" s="16">
        <v>0.09</v>
      </c>
      <c r="H50" s="21">
        <f>540+343</f>
        <v>883</v>
      </c>
      <c r="I50" s="20">
        <f>500</f>
        <v>500</v>
      </c>
    </row>
    <row r="51" spans="2:9" x14ac:dyDescent="0.25">
      <c r="B51" s="1" t="s">
        <v>53</v>
      </c>
      <c r="C51" s="15" t="s">
        <v>75</v>
      </c>
      <c r="D51" s="15" t="s">
        <v>74</v>
      </c>
      <c r="G51" s="16">
        <v>0.09</v>
      </c>
      <c r="H51" s="21">
        <f>540+343</f>
        <v>883</v>
      </c>
      <c r="I51" s="20">
        <f>500</f>
        <v>500</v>
      </c>
    </row>
    <row r="52" spans="2:9" x14ac:dyDescent="0.25">
      <c r="B52" s="1" t="s">
        <v>54</v>
      </c>
      <c r="C52" s="15" t="s">
        <v>72</v>
      </c>
      <c r="D52" s="15"/>
      <c r="G52" s="16">
        <v>0.09</v>
      </c>
      <c r="H52" s="21">
        <v>480</v>
      </c>
      <c r="I52" s="20">
        <f>500</f>
        <v>500</v>
      </c>
    </row>
    <row r="53" spans="2:9" x14ac:dyDescent="0.25">
      <c r="B53" s="1" t="s">
        <v>55</v>
      </c>
      <c r="C53" s="15" t="s">
        <v>66</v>
      </c>
      <c r="D53" s="15"/>
      <c r="G53" s="16">
        <v>1.7</v>
      </c>
      <c r="H53" s="21">
        <v>0</v>
      </c>
      <c r="I53" s="20">
        <v>0</v>
      </c>
    </row>
    <row r="54" spans="2:9" x14ac:dyDescent="0.25">
      <c r="B54" s="1" t="s">
        <v>56</v>
      </c>
      <c r="C54" s="15" t="s">
        <v>65</v>
      </c>
      <c r="D54" s="15"/>
      <c r="G54" s="16">
        <v>1.4</v>
      </c>
      <c r="H54" s="21">
        <v>0</v>
      </c>
      <c r="I54" s="20">
        <v>0</v>
      </c>
    </row>
    <row r="55" spans="2:9" x14ac:dyDescent="0.25">
      <c r="B55" s="1" t="s">
        <v>60</v>
      </c>
      <c r="C55" s="15" t="s">
        <v>63</v>
      </c>
      <c r="D55" s="15" t="s">
        <v>62</v>
      </c>
      <c r="G55" s="16">
        <v>1.5</v>
      </c>
      <c r="H55" s="21">
        <v>900</v>
      </c>
      <c r="I55" s="20">
        <v>100</v>
      </c>
    </row>
    <row r="56" spans="2:9" x14ac:dyDescent="0.25">
      <c r="B56" s="1" t="s">
        <v>57</v>
      </c>
      <c r="C56" s="15" t="s">
        <v>66</v>
      </c>
      <c r="D56" s="15"/>
      <c r="G56" s="16">
        <v>1.7</v>
      </c>
      <c r="H56" s="21">
        <v>0</v>
      </c>
      <c r="I56" s="20">
        <v>0</v>
      </c>
    </row>
    <row r="57" spans="2:9" x14ac:dyDescent="0.25">
      <c r="C57" s="15"/>
      <c r="D57" s="15"/>
      <c r="G57" s="16"/>
      <c r="H57" s="21"/>
      <c r="I57" s="20"/>
    </row>
    <row r="58" spans="2:9" x14ac:dyDescent="0.25">
      <c r="B58" s="1" t="s">
        <v>58</v>
      </c>
      <c r="C58" s="15" t="s">
        <v>69</v>
      </c>
      <c r="D58" s="15" t="s">
        <v>70</v>
      </c>
      <c r="G58" s="16">
        <v>0.35</v>
      </c>
      <c r="H58" s="21">
        <f>770+160</f>
        <v>930</v>
      </c>
      <c r="I58" s="20">
        <f>350+131+300</f>
        <v>781</v>
      </c>
    </row>
    <row r="59" spans="2:9" x14ac:dyDescent="0.25">
      <c r="B59" s="1" t="s">
        <v>59</v>
      </c>
      <c r="C59" s="15" t="s">
        <v>71</v>
      </c>
      <c r="D59" s="15" t="s">
        <v>73</v>
      </c>
      <c r="G59" s="16">
        <v>0.17</v>
      </c>
      <c r="H59" s="21">
        <f>1070+677</f>
        <v>1747</v>
      </c>
      <c r="I59" s="20">
        <f>350+131+300+241</f>
        <v>1022</v>
      </c>
    </row>
    <row r="60" spans="2:9" x14ac:dyDescent="0.25">
      <c r="C60" s="15"/>
      <c r="D60" s="15"/>
      <c r="G60" s="16"/>
      <c r="H60" s="21"/>
      <c r="I60" s="20"/>
    </row>
    <row r="61" spans="2:9" x14ac:dyDescent="0.25">
      <c r="G61" s="16"/>
      <c r="H61" s="16"/>
    </row>
  </sheetData>
  <pageMargins left="0.25" right="0.25" top="0.75" bottom="0.75" header="0.3" footer="0.3"/>
  <pageSetup paperSize="8" scale="8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7" zoomScale="90" zoomScaleNormal="90" workbookViewId="0">
      <selection activeCell="J44" sqref="J44"/>
    </sheetView>
  </sheetViews>
  <sheetFormatPr defaultRowHeight="15" x14ac:dyDescent="0.25"/>
  <cols>
    <col min="2" max="2" width="29" customWidth="1"/>
    <col min="3" max="3" width="28.5703125" style="3" customWidth="1"/>
    <col min="4" max="4" width="29.28515625" style="3" customWidth="1"/>
    <col min="5" max="5" width="9.140625" style="3"/>
    <col min="6" max="6" width="0.85546875" style="17" customWidth="1"/>
    <col min="8" max="8" width="14" customWidth="1"/>
    <col min="9" max="9" width="9.140625" style="7"/>
    <col min="10" max="10" width="12.7109375" style="7" bestFit="1" customWidth="1"/>
    <col min="11" max="11" width="12" style="20" customWidth="1"/>
    <col min="12" max="12" width="11" customWidth="1"/>
  </cols>
  <sheetData>
    <row r="1" spans="1:12" x14ac:dyDescent="0.25">
      <c r="A1" s="12" t="s">
        <v>90</v>
      </c>
    </row>
    <row r="2" spans="1:12" x14ac:dyDescent="0.25">
      <c r="A2" t="s">
        <v>86</v>
      </c>
      <c r="B2" s="1"/>
    </row>
    <row r="3" spans="1:12" x14ac:dyDescent="0.25">
      <c r="A3" t="s">
        <v>32</v>
      </c>
      <c r="B3" s="2" t="s">
        <v>0</v>
      </c>
      <c r="C3" s="3" t="s">
        <v>29</v>
      </c>
      <c r="D3" s="3" t="s">
        <v>30</v>
      </c>
      <c r="E3" s="3" t="s">
        <v>1</v>
      </c>
      <c r="G3" s="3" t="s">
        <v>36</v>
      </c>
      <c r="H3" s="3" t="s">
        <v>37</v>
      </c>
      <c r="I3" s="3" t="s">
        <v>38</v>
      </c>
      <c r="J3" s="3" t="s">
        <v>39</v>
      </c>
      <c r="K3" s="21" t="s">
        <v>78</v>
      </c>
      <c r="L3" s="3" t="s">
        <v>79</v>
      </c>
    </row>
    <row r="4" spans="1:12" x14ac:dyDescent="0.25">
      <c r="A4">
        <v>1</v>
      </c>
      <c r="B4" s="1" t="s">
        <v>2</v>
      </c>
      <c r="C4" s="3">
        <f>3.95+0.2+0.3</f>
        <v>4.45</v>
      </c>
      <c r="D4" s="3">
        <v>3.1</v>
      </c>
      <c r="E4" s="3">
        <f>C4*D4</f>
        <v>13.795000000000002</v>
      </c>
      <c r="G4">
        <f>G53</f>
        <v>1.7</v>
      </c>
      <c r="H4">
        <v>1</v>
      </c>
      <c r="I4" s="7">
        <f t="shared" ref="I4:I9" si="0">G4*H4</f>
        <v>1.7</v>
      </c>
      <c r="J4" s="7">
        <f t="shared" ref="J4:J9" si="1">I4*E4</f>
        <v>23.451500000000003</v>
      </c>
      <c r="K4" s="20">
        <f>H53*$E$4</f>
        <v>0</v>
      </c>
      <c r="L4" s="20">
        <f>I53*$E$4</f>
        <v>0</v>
      </c>
    </row>
    <row r="5" spans="1:12" x14ac:dyDescent="0.25">
      <c r="A5">
        <v>2</v>
      </c>
      <c r="B5" s="1" t="s">
        <v>3</v>
      </c>
      <c r="C5" s="3">
        <f>7.3+0.15+0.15</f>
        <v>7.6000000000000005</v>
      </c>
      <c r="D5" s="3">
        <v>3.1</v>
      </c>
      <c r="E5" s="3">
        <f>C5*D5-E6</f>
        <v>17.983000000000004</v>
      </c>
      <c r="G5">
        <f>G54</f>
        <v>1.4</v>
      </c>
      <c r="H5">
        <v>1</v>
      </c>
      <c r="I5" s="7">
        <f t="shared" si="0"/>
        <v>1.4</v>
      </c>
      <c r="J5" s="7">
        <f t="shared" si="1"/>
        <v>25.176200000000005</v>
      </c>
      <c r="K5" s="20">
        <f>H54*$E$5</f>
        <v>0</v>
      </c>
      <c r="L5" s="20">
        <f>I54*$E$5</f>
        <v>0</v>
      </c>
    </row>
    <row r="6" spans="1:12" s="4" customFormat="1" x14ac:dyDescent="0.25">
      <c r="A6" s="4">
        <v>3</v>
      </c>
      <c r="B6" s="5" t="s">
        <v>4</v>
      </c>
      <c r="C6" s="6">
        <v>1.65</v>
      </c>
      <c r="D6" s="6">
        <v>1.69</v>
      </c>
      <c r="E6" s="6">
        <f>2*D6*C6</f>
        <v>5.577</v>
      </c>
      <c r="F6" s="18"/>
      <c r="G6">
        <f>G55</f>
        <v>1.5</v>
      </c>
      <c r="H6">
        <v>1.1499999999999999</v>
      </c>
      <c r="I6" s="7">
        <f t="shared" si="0"/>
        <v>1.7249999999999999</v>
      </c>
      <c r="J6" s="7">
        <f t="shared" si="1"/>
        <v>9.6203249999999993</v>
      </c>
      <c r="K6" s="22">
        <f>H55*$E$6</f>
        <v>5019.3</v>
      </c>
      <c r="L6" s="22">
        <f>I55*$E$6</f>
        <v>557.70000000000005</v>
      </c>
    </row>
    <row r="7" spans="1:12" x14ac:dyDescent="0.25">
      <c r="A7">
        <v>4</v>
      </c>
      <c r="B7" s="1" t="s">
        <v>31</v>
      </c>
      <c r="C7" s="3">
        <f>3.95+0.2+0.3</f>
        <v>4.45</v>
      </c>
      <c r="D7" s="3">
        <v>3.1</v>
      </c>
      <c r="E7" s="3">
        <f>C7*D7</f>
        <v>13.795000000000002</v>
      </c>
      <c r="G7">
        <f>G56</f>
        <v>1.7</v>
      </c>
      <c r="H7">
        <v>0.14000000000000001</v>
      </c>
      <c r="I7" s="7">
        <f t="shared" si="0"/>
        <v>0.23800000000000002</v>
      </c>
      <c r="J7" s="7">
        <f t="shared" si="1"/>
        <v>3.2832100000000008</v>
      </c>
      <c r="K7" s="20">
        <f>H56*$E$7</f>
        <v>0</v>
      </c>
      <c r="L7" s="20">
        <f>I56*$E$7</f>
        <v>0</v>
      </c>
    </row>
    <row r="8" spans="1:12" x14ac:dyDescent="0.25">
      <c r="A8">
        <v>5</v>
      </c>
      <c r="B8" s="1" t="s">
        <v>5</v>
      </c>
      <c r="C8" s="3">
        <f>C5</f>
        <v>7.6000000000000005</v>
      </c>
      <c r="D8" s="3">
        <f>C4</f>
        <v>4.45</v>
      </c>
      <c r="E8" s="3">
        <f>C8*D8</f>
        <v>33.82</v>
      </c>
      <c r="G8">
        <f>G52</f>
        <v>0.09</v>
      </c>
      <c r="H8">
        <v>0.83</v>
      </c>
      <c r="I8" s="7">
        <f t="shared" si="0"/>
        <v>7.4699999999999989E-2</v>
      </c>
      <c r="J8" s="7">
        <f t="shared" si="1"/>
        <v>2.5263539999999995</v>
      </c>
      <c r="K8" s="20">
        <f>H52*$E$8</f>
        <v>16233.6</v>
      </c>
      <c r="L8" s="20">
        <f>I52*$E$8</f>
        <v>16910</v>
      </c>
    </row>
    <row r="9" spans="1:12" x14ac:dyDescent="0.25">
      <c r="A9">
        <v>6</v>
      </c>
      <c r="B9" s="1" t="s">
        <v>6</v>
      </c>
      <c r="C9" s="3">
        <f>C8</f>
        <v>7.6000000000000005</v>
      </c>
      <c r="D9" s="3">
        <f>D8</f>
        <v>4.45</v>
      </c>
      <c r="E9" s="3">
        <f>C9*D9</f>
        <v>33.82</v>
      </c>
      <c r="G9">
        <f>G49</f>
        <v>0.12</v>
      </c>
      <c r="H9">
        <v>0.4</v>
      </c>
      <c r="I9" s="7">
        <f t="shared" si="0"/>
        <v>4.8000000000000001E-2</v>
      </c>
      <c r="J9" s="7">
        <f t="shared" si="1"/>
        <v>1.6233600000000001</v>
      </c>
      <c r="K9" s="20">
        <f>H49*$E$9</f>
        <v>28476.44</v>
      </c>
      <c r="L9" s="20">
        <f>I49*$E$9</f>
        <v>9334.32</v>
      </c>
    </row>
    <row r="10" spans="1:12" x14ac:dyDescent="0.25">
      <c r="B10" s="1"/>
      <c r="L10" s="20"/>
    </row>
    <row r="11" spans="1:12" x14ac:dyDescent="0.25">
      <c r="B11" s="2" t="s">
        <v>7</v>
      </c>
      <c r="L11" s="20"/>
    </row>
    <row r="12" spans="1:12" x14ac:dyDescent="0.25">
      <c r="A12">
        <v>7</v>
      </c>
      <c r="B12" s="1" t="s">
        <v>8</v>
      </c>
      <c r="C12" s="3">
        <v>2.65</v>
      </c>
      <c r="D12" s="3">
        <v>2.7</v>
      </c>
      <c r="E12" s="3">
        <f>C12*D12-E13</f>
        <v>5.6550000000000002</v>
      </c>
      <c r="G12">
        <f>$G$47</f>
        <v>0.11</v>
      </c>
      <c r="H12">
        <v>1</v>
      </c>
      <c r="I12" s="7">
        <f t="shared" ref="I12:I26" si="2">G12*H12</f>
        <v>0.11</v>
      </c>
      <c r="J12" s="7">
        <f t="shared" ref="J12:J26" si="3">I12*E12</f>
        <v>0.62204999999999999</v>
      </c>
      <c r="K12" s="20">
        <f>H$47*$E$12</f>
        <v>8267.61</v>
      </c>
      <c r="L12" s="20">
        <f>I$47*$E$12</f>
        <v>4416.5550000000003</v>
      </c>
    </row>
    <row r="13" spans="1:12" s="4" customFormat="1" x14ac:dyDescent="0.25">
      <c r="A13" s="4">
        <v>8</v>
      </c>
      <c r="B13" s="5" t="s">
        <v>9</v>
      </c>
      <c r="C13" s="6">
        <v>0.6</v>
      </c>
      <c r="D13" s="6">
        <v>2.5</v>
      </c>
      <c r="E13" s="6">
        <f>C13*D13</f>
        <v>1.5</v>
      </c>
      <c r="F13" s="18"/>
      <c r="G13">
        <f>$G$48</f>
        <v>0.83</v>
      </c>
      <c r="H13">
        <v>1.1499999999999999</v>
      </c>
      <c r="I13" s="7">
        <f t="shared" si="2"/>
        <v>0.9544999999999999</v>
      </c>
      <c r="J13" s="7">
        <f t="shared" si="3"/>
        <v>1.4317499999999999</v>
      </c>
      <c r="K13" s="22">
        <f>H$48*$E$13</f>
        <v>12153.35463258786</v>
      </c>
      <c r="L13" s="22">
        <f>I$48*$E$13</f>
        <v>0</v>
      </c>
    </row>
    <row r="14" spans="1:12" s="4" customFormat="1" x14ac:dyDescent="0.25">
      <c r="A14" s="4">
        <v>9</v>
      </c>
      <c r="B14" s="5" t="s">
        <v>10</v>
      </c>
      <c r="C14" s="6">
        <v>1.9</v>
      </c>
      <c r="D14" s="6">
        <v>2.5</v>
      </c>
      <c r="E14" s="6">
        <f>C14*D14</f>
        <v>4.75</v>
      </c>
      <c r="F14" s="18"/>
      <c r="G14">
        <f>$G$48</f>
        <v>0.83</v>
      </c>
      <c r="H14">
        <v>1.1499999999999999</v>
      </c>
      <c r="I14" s="7">
        <f t="shared" si="2"/>
        <v>0.9544999999999999</v>
      </c>
      <c r="J14" s="7">
        <f t="shared" si="3"/>
        <v>4.5338749999999992</v>
      </c>
      <c r="K14" s="22">
        <f>H$48*$E$14</f>
        <v>38485.623003194887</v>
      </c>
      <c r="L14" s="22">
        <f>I$48*$E$14</f>
        <v>0</v>
      </c>
    </row>
    <row r="15" spans="1:12" x14ac:dyDescent="0.25">
      <c r="A15">
        <v>10</v>
      </c>
      <c r="B15" s="1" t="s">
        <v>11</v>
      </c>
      <c r="C15" s="3">
        <f>4.4+0.25+0.25</f>
        <v>4.9000000000000004</v>
      </c>
      <c r="D15" s="3">
        <v>2.7</v>
      </c>
      <c r="E15" s="3">
        <f>C15*D15</f>
        <v>13.230000000000002</v>
      </c>
      <c r="G15">
        <f>$G$47</f>
        <v>0.11</v>
      </c>
      <c r="H15">
        <v>1</v>
      </c>
      <c r="I15" s="7">
        <f t="shared" si="2"/>
        <v>0.11</v>
      </c>
      <c r="J15" s="7">
        <f t="shared" si="3"/>
        <v>1.4553000000000003</v>
      </c>
      <c r="K15" s="20">
        <f>H$47*$E$15</f>
        <v>19342.260000000002</v>
      </c>
      <c r="L15" s="20">
        <f>I$47*$E$15</f>
        <v>10332.630000000001</v>
      </c>
    </row>
    <row r="16" spans="1:12" x14ac:dyDescent="0.25">
      <c r="A16">
        <v>11</v>
      </c>
      <c r="B16" s="1" t="s">
        <v>12</v>
      </c>
      <c r="C16" s="3">
        <f>3.3-0.25</f>
        <v>3.05</v>
      </c>
      <c r="D16" s="3">
        <v>2.7</v>
      </c>
      <c r="E16" s="3">
        <f>C16*D16</f>
        <v>8.2349999999999994</v>
      </c>
      <c r="G16">
        <f>$G$47</f>
        <v>0.11</v>
      </c>
      <c r="H16">
        <v>1</v>
      </c>
      <c r="I16" s="7">
        <f t="shared" si="2"/>
        <v>0.11</v>
      </c>
      <c r="J16" s="7">
        <f t="shared" si="3"/>
        <v>0.90584999999999993</v>
      </c>
      <c r="K16" s="20">
        <f>H$47*$E$16</f>
        <v>12039.57</v>
      </c>
      <c r="L16" s="20">
        <f>I$47*$E$16</f>
        <v>6431.5349999999999</v>
      </c>
    </row>
    <row r="17" spans="1:12" s="4" customFormat="1" x14ac:dyDescent="0.25">
      <c r="A17" s="4">
        <v>12</v>
      </c>
      <c r="B17" s="5" t="s">
        <v>13</v>
      </c>
      <c r="C17" s="6">
        <v>1.05</v>
      </c>
      <c r="D17" s="6">
        <v>2.5</v>
      </c>
      <c r="E17" s="6">
        <f>C17*D17</f>
        <v>2.625</v>
      </c>
      <c r="F17" s="18"/>
      <c r="G17">
        <f>$G$48</f>
        <v>0.83</v>
      </c>
      <c r="H17">
        <v>1.1499999999999999</v>
      </c>
      <c r="I17" s="7">
        <f t="shared" si="2"/>
        <v>0.9544999999999999</v>
      </c>
      <c r="J17" s="7">
        <f t="shared" si="3"/>
        <v>2.5055624999999999</v>
      </c>
      <c r="K17" s="22">
        <f>H$48*$E$17</f>
        <v>21268.370607028755</v>
      </c>
      <c r="L17" s="22">
        <f>I$48*$E$17</f>
        <v>0</v>
      </c>
    </row>
    <row r="18" spans="1:12" x14ac:dyDescent="0.25">
      <c r="A18">
        <v>13</v>
      </c>
      <c r="B18" s="1" t="s">
        <v>14</v>
      </c>
      <c r="C18" s="3">
        <v>3.1</v>
      </c>
      <c r="D18" s="3">
        <v>2.7</v>
      </c>
      <c r="E18" s="3">
        <f>C18*D18-E19</f>
        <v>3.870000000000001</v>
      </c>
      <c r="G18">
        <f>$G$47</f>
        <v>0.11</v>
      </c>
      <c r="H18">
        <v>1</v>
      </c>
      <c r="I18" s="7">
        <f t="shared" si="2"/>
        <v>0.11</v>
      </c>
      <c r="J18" s="7">
        <f t="shared" si="3"/>
        <v>0.42570000000000013</v>
      </c>
      <c r="K18" s="20">
        <f>H$47*$E$18</f>
        <v>5657.9400000000014</v>
      </c>
      <c r="L18" s="20">
        <f>I$47*$E$18</f>
        <v>3022.4700000000007</v>
      </c>
    </row>
    <row r="19" spans="1:12" s="4" customFormat="1" x14ac:dyDescent="0.25">
      <c r="A19" s="4">
        <v>14</v>
      </c>
      <c r="B19" s="5" t="s">
        <v>15</v>
      </c>
      <c r="C19" s="6">
        <v>1.8</v>
      </c>
      <c r="D19" s="6">
        <v>2.5</v>
      </c>
      <c r="E19" s="6">
        <f>C19*D19</f>
        <v>4.5</v>
      </c>
      <c r="F19" s="18"/>
      <c r="G19">
        <f>$G$48</f>
        <v>0.83</v>
      </c>
      <c r="H19">
        <v>1.1499999999999999</v>
      </c>
      <c r="I19" s="7">
        <f t="shared" si="2"/>
        <v>0.9544999999999999</v>
      </c>
      <c r="J19" s="7">
        <f t="shared" si="3"/>
        <v>4.2952499999999993</v>
      </c>
      <c r="K19" s="22">
        <f>H$48*$E$19</f>
        <v>36460.063897763583</v>
      </c>
      <c r="L19" s="22">
        <f>I$48*$E$19</f>
        <v>0</v>
      </c>
    </row>
    <row r="20" spans="1:12" x14ac:dyDescent="0.25">
      <c r="A20">
        <v>15</v>
      </c>
      <c r="B20" s="1" t="s">
        <v>16</v>
      </c>
      <c r="C20" s="3">
        <v>3.1</v>
      </c>
      <c r="D20" s="3">
        <v>2.7</v>
      </c>
      <c r="E20" s="3">
        <f>C20*D20-E21</f>
        <v>6.870000000000001</v>
      </c>
      <c r="G20">
        <f>$G$47</f>
        <v>0.11</v>
      </c>
      <c r="H20">
        <v>1</v>
      </c>
      <c r="I20" s="7">
        <f t="shared" si="2"/>
        <v>0.11</v>
      </c>
      <c r="J20" s="7">
        <f t="shared" si="3"/>
        <v>0.75570000000000015</v>
      </c>
      <c r="K20" s="20">
        <f>H$47*$E$20</f>
        <v>10043.940000000002</v>
      </c>
      <c r="L20" s="20">
        <f>I$47*$E$20</f>
        <v>5365.4700000000012</v>
      </c>
    </row>
    <row r="21" spans="1:12" s="4" customFormat="1" x14ac:dyDescent="0.25">
      <c r="A21" s="4">
        <v>16</v>
      </c>
      <c r="B21" s="5" t="s">
        <v>17</v>
      </c>
      <c r="C21" s="6">
        <v>0.6</v>
      </c>
      <c r="D21" s="6">
        <v>2.5</v>
      </c>
      <c r="E21" s="6">
        <f>C21*D21</f>
        <v>1.5</v>
      </c>
      <c r="F21" s="18"/>
      <c r="G21">
        <f>$G$48</f>
        <v>0.83</v>
      </c>
      <c r="H21">
        <v>1.1499999999999999</v>
      </c>
      <c r="I21" s="7">
        <f t="shared" si="2"/>
        <v>0.9544999999999999</v>
      </c>
      <c r="J21" s="7">
        <f t="shared" si="3"/>
        <v>1.4317499999999999</v>
      </c>
      <c r="K21" s="22">
        <f>H$48*$E$21</f>
        <v>12153.35463258786</v>
      </c>
      <c r="L21" s="22">
        <f>I$48*$E$21</f>
        <v>0</v>
      </c>
    </row>
    <row r="22" spans="1:12" x14ac:dyDescent="0.25">
      <c r="A22">
        <v>17</v>
      </c>
      <c r="B22" s="1" t="s">
        <v>34</v>
      </c>
      <c r="C22" s="3">
        <f>11.2-0.15-0.25</f>
        <v>10.799999999999999</v>
      </c>
      <c r="D22" s="3">
        <v>2.7</v>
      </c>
      <c r="E22" s="3">
        <f>C22*D22</f>
        <v>29.16</v>
      </c>
      <c r="G22">
        <f>G59</f>
        <v>0.17</v>
      </c>
      <c r="H22">
        <v>0.56999999999999995</v>
      </c>
      <c r="I22" s="7">
        <f t="shared" si="2"/>
        <v>9.69E-2</v>
      </c>
      <c r="J22" s="7">
        <f t="shared" si="3"/>
        <v>2.8256040000000002</v>
      </c>
      <c r="K22" s="20">
        <f>H59*$E$22</f>
        <v>50942.52</v>
      </c>
      <c r="L22" s="20">
        <f>I59*$E$22</f>
        <v>29801.52</v>
      </c>
    </row>
    <row r="23" spans="1:12" s="4" customFormat="1" x14ac:dyDescent="0.25">
      <c r="A23" s="4">
        <v>18</v>
      </c>
      <c r="B23" s="5" t="s">
        <v>35</v>
      </c>
      <c r="C23" s="6">
        <v>1.9</v>
      </c>
      <c r="D23" s="6">
        <v>2.5</v>
      </c>
      <c r="E23" s="6">
        <f>C23*D23</f>
        <v>4.75</v>
      </c>
      <c r="F23" s="18"/>
      <c r="G23">
        <f>$G$48</f>
        <v>0.83</v>
      </c>
      <c r="H23">
        <v>1.1499999999999999</v>
      </c>
      <c r="I23" s="7">
        <f t="shared" si="2"/>
        <v>0.9544999999999999</v>
      </c>
      <c r="J23" s="7">
        <f t="shared" si="3"/>
        <v>4.5338749999999992</v>
      </c>
      <c r="K23" s="22">
        <f>H$48*$E$23</f>
        <v>38485.623003194887</v>
      </c>
      <c r="L23" s="22">
        <f>I$48*$E$23</f>
        <v>0</v>
      </c>
    </row>
    <row r="24" spans="1:12" x14ac:dyDescent="0.25">
      <c r="A24">
        <v>19</v>
      </c>
      <c r="B24" s="1" t="s">
        <v>18</v>
      </c>
      <c r="C24" s="3">
        <f>9.95-0.25</f>
        <v>9.6999999999999993</v>
      </c>
      <c r="D24" s="3">
        <v>2.7</v>
      </c>
      <c r="E24" s="3">
        <f>C24*D24-E23</f>
        <v>21.44</v>
      </c>
      <c r="G24">
        <f>G58</f>
        <v>0.35</v>
      </c>
      <c r="H24">
        <v>0.14000000000000001</v>
      </c>
      <c r="I24" s="7">
        <f t="shared" si="2"/>
        <v>4.9000000000000002E-2</v>
      </c>
      <c r="J24" s="7">
        <f t="shared" si="3"/>
        <v>1.0505600000000002</v>
      </c>
      <c r="K24" s="20">
        <f>H58*$E$24</f>
        <v>19939.2</v>
      </c>
      <c r="L24" s="20">
        <f>I58*$E$24</f>
        <v>16744.64</v>
      </c>
    </row>
    <row r="25" spans="1:12" x14ac:dyDescent="0.25">
      <c r="A25">
        <v>20</v>
      </c>
      <c r="B25" s="1" t="s">
        <v>19</v>
      </c>
      <c r="E25" s="3">
        <f>C22*C15+E26</f>
        <v>83.314999999999998</v>
      </c>
      <c r="G25">
        <f>G49</f>
        <v>0.12</v>
      </c>
      <c r="H25">
        <v>0.4</v>
      </c>
      <c r="I25" s="7">
        <f t="shared" si="2"/>
        <v>4.8000000000000001E-2</v>
      </c>
      <c r="J25" s="7">
        <f t="shared" si="3"/>
        <v>3.99912</v>
      </c>
      <c r="K25" s="20">
        <f>H49*$E$25</f>
        <v>70151.23</v>
      </c>
      <c r="L25" s="20">
        <f>I49*$E$25</f>
        <v>22994.94</v>
      </c>
    </row>
    <row r="26" spans="1:12" x14ac:dyDescent="0.25">
      <c r="A26">
        <v>21</v>
      </c>
      <c r="B26" s="1" t="s">
        <v>33</v>
      </c>
      <c r="E26" s="3">
        <f>7.9*4.75-3.1*2.3</f>
        <v>30.395</v>
      </c>
      <c r="G26">
        <f>G50</f>
        <v>0.09</v>
      </c>
      <c r="H26">
        <v>1</v>
      </c>
      <c r="I26" s="7">
        <f t="shared" si="2"/>
        <v>0.09</v>
      </c>
      <c r="J26" s="7">
        <f t="shared" si="3"/>
        <v>2.7355499999999999</v>
      </c>
      <c r="K26" s="20">
        <f>H50*$E$26</f>
        <v>26838.785</v>
      </c>
      <c r="L26" s="20">
        <f>I50*$E$26</f>
        <v>15197.5</v>
      </c>
    </row>
    <row r="27" spans="1:12" x14ac:dyDescent="0.25">
      <c r="B27" s="1"/>
      <c r="L27" s="20"/>
    </row>
    <row r="28" spans="1:12" x14ac:dyDescent="0.25">
      <c r="B28" s="2" t="s">
        <v>20</v>
      </c>
      <c r="L28" s="20"/>
    </row>
    <row r="29" spans="1:12" x14ac:dyDescent="0.25">
      <c r="A29">
        <v>22</v>
      </c>
      <c r="B29" s="1" t="s">
        <v>21</v>
      </c>
      <c r="C29" s="3">
        <f>4.4+0.25+0.25</f>
        <v>4.9000000000000004</v>
      </c>
      <c r="D29" s="3">
        <v>2.95</v>
      </c>
      <c r="E29" s="3">
        <f>C29*D29</f>
        <v>14.455000000000002</v>
      </c>
      <c r="G29">
        <f>$G$47</f>
        <v>0.11</v>
      </c>
      <c r="H29">
        <v>1</v>
      </c>
      <c r="I29" s="7">
        <f t="shared" ref="I29:I36" si="4">G29*H29</f>
        <v>0.11</v>
      </c>
      <c r="J29" s="7">
        <f t="shared" ref="J29:J36" si="5">I29*E29</f>
        <v>1.5900500000000002</v>
      </c>
      <c r="K29" s="20">
        <f>H$47*$E$29</f>
        <v>21133.210000000003</v>
      </c>
      <c r="L29" s="20">
        <f>I$47*$E$29</f>
        <v>11289.355000000001</v>
      </c>
    </row>
    <row r="30" spans="1:12" x14ac:dyDescent="0.25">
      <c r="A30">
        <v>23</v>
      </c>
      <c r="B30" s="1" t="s">
        <v>22</v>
      </c>
      <c r="C30" s="3">
        <f>4.4+0.25+0.25</f>
        <v>4.9000000000000004</v>
      </c>
      <c r="D30" s="3">
        <v>2.95</v>
      </c>
      <c r="E30" s="3">
        <f>C30*D30</f>
        <v>14.455000000000002</v>
      </c>
      <c r="G30">
        <f>G58</f>
        <v>0.35</v>
      </c>
      <c r="H30">
        <v>0.14000000000000001</v>
      </c>
      <c r="I30" s="7">
        <f t="shared" si="4"/>
        <v>4.9000000000000002E-2</v>
      </c>
      <c r="J30" s="7">
        <f t="shared" si="5"/>
        <v>0.70829500000000012</v>
      </c>
      <c r="K30" s="20">
        <f>H58*$E$30</f>
        <v>13443.150000000001</v>
      </c>
      <c r="L30" s="20">
        <f>I58*$E$30</f>
        <v>11289.355000000001</v>
      </c>
    </row>
    <row r="31" spans="1:12" x14ac:dyDescent="0.25">
      <c r="A31">
        <v>24</v>
      </c>
      <c r="B31" s="1" t="s">
        <v>23</v>
      </c>
      <c r="C31" s="3">
        <f>11.2-0.15-0.25</f>
        <v>10.799999999999999</v>
      </c>
      <c r="D31" s="3">
        <v>2.95</v>
      </c>
      <c r="E31" s="3">
        <f>C31*D31-E32</f>
        <v>22.86</v>
      </c>
      <c r="G31">
        <f>$G$47</f>
        <v>0.11</v>
      </c>
      <c r="H31">
        <v>1</v>
      </c>
      <c r="I31" s="7">
        <f t="shared" si="4"/>
        <v>0.11</v>
      </c>
      <c r="J31" s="7">
        <f t="shared" si="5"/>
        <v>2.5146000000000002</v>
      </c>
      <c r="K31" s="20">
        <f>H$47*$E$31</f>
        <v>33421.32</v>
      </c>
      <c r="L31" s="20">
        <f>I$47*$E$31</f>
        <v>17853.66</v>
      </c>
    </row>
    <row r="32" spans="1:12" s="4" customFormat="1" x14ac:dyDescent="0.25">
      <c r="A32" s="4">
        <v>25</v>
      </c>
      <c r="B32" s="5" t="s">
        <v>24</v>
      </c>
      <c r="C32" s="6">
        <v>3.6</v>
      </c>
      <c r="D32" s="6">
        <v>2.5</v>
      </c>
      <c r="E32" s="6">
        <f>C32*D32</f>
        <v>9</v>
      </c>
      <c r="F32" s="18"/>
      <c r="G32">
        <f>$G$48</f>
        <v>0.83</v>
      </c>
      <c r="H32">
        <v>1.1499999999999999</v>
      </c>
      <c r="I32" s="7">
        <f t="shared" si="4"/>
        <v>0.9544999999999999</v>
      </c>
      <c r="J32" s="7">
        <f t="shared" si="5"/>
        <v>8.5904999999999987</v>
      </c>
      <c r="K32" s="22">
        <f>H$48*$E$32</f>
        <v>72920.127795527165</v>
      </c>
      <c r="L32" s="22">
        <f>I$48*$E$32</f>
        <v>0</v>
      </c>
    </row>
    <row r="33" spans="1:12" x14ac:dyDescent="0.25">
      <c r="A33">
        <v>26</v>
      </c>
      <c r="B33" s="1" t="s">
        <v>25</v>
      </c>
      <c r="C33" s="3">
        <f>11.2-0.15-0.25</f>
        <v>10.799999999999999</v>
      </c>
      <c r="D33" s="3">
        <v>2.95</v>
      </c>
      <c r="E33" s="3">
        <f>C33*D33-E34-E35</f>
        <v>21.36</v>
      </c>
      <c r="G33">
        <f>$G$47</f>
        <v>0.11</v>
      </c>
      <c r="H33">
        <v>1</v>
      </c>
      <c r="I33" s="7">
        <f t="shared" si="4"/>
        <v>0.11</v>
      </c>
      <c r="J33" s="7">
        <f t="shared" si="5"/>
        <v>2.3496000000000001</v>
      </c>
      <c r="K33" s="20">
        <f>H$47*$E$33</f>
        <v>31228.32</v>
      </c>
      <c r="L33" s="20">
        <f>I$47*$E$33</f>
        <v>16682.16</v>
      </c>
    </row>
    <row r="34" spans="1:12" s="4" customFormat="1" x14ac:dyDescent="0.25">
      <c r="A34" s="4">
        <v>27</v>
      </c>
      <c r="B34" s="5" t="s">
        <v>26</v>
      </c>
      <c r="C34" s="6">
        <v>3.6</v>
      </c>
      <c r="D34" s="6">
        <v>2.5</v>
      </c>
      <c r="E34" s="6">
        <f>C34*D34</f>
        <v>9</v>
      </c>
      <c r="F34" s="18"/>
      <c r="G34">
        <f>$G$48</f>
        <v>0.83</v>
      </c>
      <c r="H34">
        <v>1.1499999999999999</v>
      </c>
      <c r="I34" s="7">
        <f t="shared" si="4"/>
        <v>0.9544999999999999</v>
      </c>
      <c r="J34" s="7">
        <f t="shared" si="5"/>
        <v>8.5904999999999987</v>
      </c>
      <c r="K34" s="22">
        <f>H$48*$E$34</f>
        <v>72920.127795527165</v>
      </c>
      <c r="L34" s="22">
        <f>I$48*$E$34</f>
        <v>0</v>
      </c>
    </row>
    <row r="35" spans="1:12" s="4" customFormat="1" x14ac:dyDescent="0.25">
      <c r="A35" s="4">
        <v>28</v>
      </c>
      <c r="B35" s="5" t="s">
        <v>27</v>
      </c>
      <c r="C35" s="6">
        <v>0.6</v>
      </c>
      <c r="D35" s="6">
        <v>2.5</v>
      </c>
      <c r="E35" s="6">
        <f>C35*D35</f>
        <v>1.5</v>
      </c>
      <c r="F35" s="18"/>
      <c r="G35">
        <f>$G$48</f>
        <v>0.83</v>
      </c>
      <c r="H35">
        <v>1.1499999999999999</v>
      </c>
      <c r="I35" s="7">
        <f t="shared" si="4"/>
        <v>0.9544999999999999</v>
      </c>
      <c r="J35" s="7">
        <f t="shared" si="5"/>
        <v>1.4317499999999999</v>
      </c>
      <c r="K35" s="22">
        <f>H$48*$E$35</f>
        <v>12153.35463258786</v>
      </c>
      <c r="L35" s="22">
        <f>I$48*$E$35</f>
        <v>0</v>
      </c>
    </row>
    <row r="36" spans="1:12" x14ac:dyDescent="0.25">
      <c r="A36">
        <v>29</v>
      </c>
      <c r="B36" s="1" t="s">
        <v>28</v>
      </c>
      <c r="C36" s="3">
        <f>C33</f>
        <v>10.799999999999999</v>
      </c>
      <c r="D36" s="3">
        <f>C29</f>
        <v>4.9000000000000004</v>
      </c>
      <c r="E36" s="3">
        <f>C36*D36</f>
        <v>52.92</v>
      </c>
      <c r="G36">
        <f>G51</f>
        <v>7.0000000000000007E-2</v>
      </c>
      <c r="H36">
        <v>1</v>
      </c>
      <c r="I36" s="7">
        <f t="shared" si="4"/>
        <v>7.0000000000000007E-2</v>
      </c>
      <c r="J36" s="7">
        <f t="shared" si="5"/>
        <v>3.7044000000000006</v>
      </c>
      <c r="K36" s="20">
        <f>H51*E$36</f>
        <v>55036.800000000003</v>
      </c>
      <c r="L36" s="20">
        <f>I51*F$36</f>
        <v>0</v>
      </c>
    </row>
    <row r="37" spans="1:12" x14ac:dyDescent="0.25">
      <c r="B37" s="1"/>
      <c r="L37" s="20"/>
    </row>
    <row r="38" spans="1:12" x14ac:dyDescent="0.25">
      <c r="B38" s="2" t="s">
        <v>45</v>
      </c>
      <c r="E38" s="3">
        <f>SUM(E4:E37)</f>
        <v>486.13499999999993</v>
      </c>
      <c r="G38">
        <v>0.1</v>
      </c>
      <c r="H38">
        <v>1</v>
      </c>
      <c r="I38" s="7">
        <f>G38*H38</f>
        <v>0.1</v>
      </c>
      <c r="J38" s="7">
        <f>I38*E38</f>
        <v>48.613499999999995</v>
      </c>
      <c r="L38" s="20"/>
    </row>
    <row r="39" spans="1:12" x14ac:dyDescent="0.25">
      <c r="B39" s="2"/>
      <c r="L39" s="20"/>
    </row>
    <row r="40" spans="1:12" x14ac:dyDescent="0.25">
      <c r="B40" s="8"/>
      <c r="E40" s="24" t="s">
        <v>87</v>
      </c>
      <c r="G40" s="10">
        <f>J40/E38</f>
        <v>0.36467573924938546</v>
      </c>
      <c r="J40" s="9">
        <f>SUM(J4:J38)</f>
        <v>177.28164049999998</v>
      </c>
      <c r="K40" s="21">
        <f>SUM(K4:K38)</f>
        <v>744215.19500000007</v>
      </c>
      <c r="L40" s="21">
        <f>SUM(L4:L38)</f>
        <v>198223.81000000006</v>
      </c>
    </row>
    <row r="41" spans="1:12" x14ac:dyDescent="0.25">
      <c r="B41" s="1"/>
      <c r="K41" s="21" t="s">
        <v>81</v>
      </c>
      <c r="L41" s="16" t="s">
        <v>82</v>
      </c>
    </row>
    <row r="42" spans="1:12" x14ac:dyDescent="0.25">
      <c r="B42" s="1" t="s">
        <v>40</v>
      </c>
      <c r="C42" s="3" t="s">
        <v>41</v>
      </c>
      <c r="D42" s="3">
        <v>20</v>
      </c>
    </row>
    <row r="43" spans="1:12" x14ac:dyDescent="0.25">
      <c r="B43" s="1" t="s">
        <v>42</v>
      </c>
      <c r="C43" s="3" t="s">
        <v>41</v>
      </c>
      <c r="D43" s="3">
        <v>-12</v>
      </c>
      <c r="J43" s="9">
        <f>J40*D44</f>
        <v>5673.0124959999994</v>
      </c>
      <c r="K43" s="20" t="s">
        <v>44</v>
      </c>
    </row>
    <row r="44" spans="1:12" x14ac:dyDescent="0.25">
      <c r="B44" s="1" t="s">
        <v>43</v>
      </c>
      <c r="C44" s="3" t="s">
        <v>41</v>
      </c>
      <c r="D44" s="3">
        <f>D42-D43</f>
        <v>32</v>
      </c>
      <c r="J44" s="14"/>
      <c r="K44" s="20" t="s">
        <v>88</v>
      </c>
    </row>
    <row r="46" spans="1:12" s="11" customFormat="1" x14ac:dyDescent="0.25">
      <c r="B46" s="2" t="s">
        <v>47</v>
      </c>
      <c r="C46" s="13" t="s">
        <v>48</v>
      </c>
      <c r="D46" s="13" t="s">
        <v>49</v>
      </c>
      <c r="E46" s="13"/>
      <c r="F46" s="19"/>
      <c r="G46" s="13" t="s">
        <v>36</v>
      </c>
      <c r="H46" s="13" t="s">
        <v>76</v>
      </c>
      <c r="I46" s="14" t="s">
        <v>77</v>
      </c>
      <c r="J46" s="14"/>
      <c r="K46" s="23"/>
    </row>
    <row r="47" spans="1:12" x14ac:dyDescent="0.25">
      <c r="B47" s="1" t="s">
        <v>46</v>
      </c>
      <c r="C47" s="15" t="s">
        <v>69</v>
      </c>
      <c r="D47" s="15" t="s">
        <v>68</v>
      </c>
      <c r="G47" s="16">
        <v>0.11</v>
      </c>
      <c r="H47" s="21">
        <f>770+692</f>
        <v>1462</v>
      </c>
      <c r="I47" s="20">
        <f>350+131+300</f>
        <v>781</v>
      </c>
    </row>
    <row r="48" spans="1:12" x14ac:dyDescent="0.25">
      <c r="B48" s="1" t="s">
        <v>50</v>
      </c>
      <c r="C48" s="15" t="s">
        <v>61</v>
      </c>
      <c r="D48" s="15"/>
      <c r="G48" s="16">
        <v>0.83</v>
      </c>
      <c r="H48" s="21">
        <f>317000/(E35+E34+E32+E23+E21+E19+E17+E14+E13)</f>
        <v>8102.2364217252398</v>
      </c>
      <c r="I48" s="20">
        <f>0</f>
        <v>0</v>
      </c>
    </row>
    <row r="49" spans="2:9" x14ac:dyDescent="0.25">
      <c r="B49" s="1" t="s">
        <v>51</v>
      </c>
      <c r="C49" s="15" t="s">
        <v>64</v>
      </c>
      <c r="D49" s="15" t="s">
        <v>83</v>
      </c>
      <c r="G49" s="16">
        <v>0.12</v>
      </c>
      <c r="H49" s="21">
        <f>2500*0.06+692</f>
        <v>842</v>
      </c>
      <c r="I49" s="20">
        <f>156+82+38</f>
        <v>276</v>
      </c>
    </row>
    <row r="50" spans="2:9" x14ac:dyDescent="0.25">
      <c r="B50" s="1" t="s">
        <v>52</v>
      </c>
      <c r="C50" s="15" t="s">
        <v>75</v>
      </c>
      <c r="D50" s="15" t="s">
        <v>74</v>
      </c>
      <c r="G50" s="16">
        <v>0.09</v>
      </c>
      <c r="H50" s="21">
        <f>540+343</f>
        <v>883</v>
      </c>
      <c r="I50" s="20">
        <f>500</f>
        <v>500</v>
      </c>
    </row>
    <row r="51" spans="2:9" x14ac:dyDescent="0.25">
      <c r="B51" s="1" t="s">
        <v>53</v>
      </c>
      <c r="C51" s="15" t="s">
        <v>75</v>
      </c>
      <c r="D51" s="15" t="s">
        <v>84</v>
      </c>
      <c r="G51" s="16">
        <v>7.0000000000000007E-2</v>
      </c>
      <c r="H51" s="21">
        <f>540+500</f>
        <v>1040</v>
      </c>
      <c r="I51" s="20">
        <f>500</f>
        <v>500</v>
      </c>
    </row>
    <row r="52" spans="2:9" x14ac:dyDescent="0.25">
      <c r="B52" s="1" t="s">
        <v>54</v>
      </c>
      <c r="C52" s="15" t="s">
        <v>72</v>
      </c>
      <c r="D52" s="15"/>
      <c r="G52" s="16">
        <v>0.09</v>
      </c>
      <c r="H52" s="21">
        <v>480</v>
      </c>
      <c r="I52" s="20">
        <f>500</f>
        <v>500</v>
      </c>
    </row>
    <row r="53" spans="2:9" x14ac:dyDescent="0.25">
      <c r="B53" s="1" t="s">
        <v>55</v>
      </c>
      <c r="C53" s="15" t="s">
        <v>66</v>
      </c>
      <c r="D53" s="15"/>
      <c r="G53" s="16">
        <v>1.7</v>
      </c>
      <c r="H53" s="21">
        <v>0</v>
      </c>
      <c r="I53" s="20">
        <v>0</v>
      </c>
    </row>
    <row r="54" spans="2:9" x14ac:dyDescent="0.25">
      <c r="B54" s="1" t="s">
        <v>56</v>
      </c>
      <c r="C54" s="15" t="s">
        <v>65</v>
      </c>
      <c r="D54" s="15"/>
      <c r="G54" s="16">
        <v>1.4</v>
      </c>
      <c r="H54" s="21">
        <v>0</v>
      </c>
      <c r="I54" s="20">
        <v>0</v>
      </c>
    </row>
    <row r="55" spans="2:9" x14ac:dyDescent="0.25">
      <c r="B55" s="1" t="s">
        <v>60</v>
      </c>
      <c r="C55" s="15" t="s">
        <v>63</v>
      </c>
      <c r="D55" s="15" t="s">
        <v>62</v>
      </c>
      <c r="G55" s="16">
        <v>1.5</v>
      </c>
      <c r="H55" s="21">
        <v>900</v>
      </c>
      <c r="I55" s="20">
        <v>100</v>
      </c>
    </row>
    <row r="56" spans="2:9" x14ac:dyDescent="0.25">
      <c r="B56" s="1" t="s">
        <v>57</v>
      </c>
      <c r="C56" s="15" t="s">
        <v>66</v>
      </c>
      <c r="D56" s="15"/>
      <c r="G56" s="16">
        <v>1.7</v>
      </c>
      <c r="H56" s="21">
        <v>0</v>
      </c>
      <c r="I56" s="20">
        <v>0</v>
      </c>
    </row>
    <row r="57" spans="2:9" x14ac:dyDescent="0.25">
      <c r="C57" s="15"/>
      <c r="D57" s="15"/>
      <c r="G57" s="16"/>
      <c r="H57" s="21"/>
      <c r="I57" s="20"/>
    </row>
    <row r="58" spans="2:9" x14ac:dyDescent="0.25">
      <c r="B58" s="1" t="s">
        <v>58</v>
      </c>
      <c r="C58" s="15" t="s">
        <v>69</v>
      </c>
      <c r="D58" s="15" t="s">
        <v>70</v>
      </c>
      <c r="G58" s="16">
        <v>0.35</v>
      </c>
      <c r="H58" s="21">
        <f>770+160</f>
        <v>930</v>
      </c>
      <c r="I58" s="20">
        <f>350+131+300</f>
        <v>781</v>
      </c>
    </row>
    <row r="59" spans="2:9" x14ac:dyDescent="0.25">
      <c r="B59" s="1" t="s">
        <v>59</v>
      </c>
      <c r="C59" s="15" t="s">
        <v>71</v>
      </c>
      <c r="D59" s="15" t="s">
        <v>73</v>
      </c>
      <c r="G59" s="16">
        <v>0.17</v>
      </c>
      <c r="H59" s="21">
        <f>1070+677</f>
        <v>1747</v>
      </c>
      <c r="I59" s="20">
        <f>350+131+300+241</f>
        <v>1022</v>
      </c>
    </row>
    <row r="60" spans="2:9" x14ac:dyDescent="0.25">
      <c r="C60" s="15"/>
      <c r="D60" s="15"/>
      <c r="G60" s="16"/>
      <c r="H60" s="21"/>
      <c r="I60" s="20"/>
    </row>
    <row r="61" spans="2:9" x14ac:dyDescent="0.25">
      <c r="G61" s="16"/>
      <c r="H61" s="16"/>
    </row>
  </sheetData>
  <pageMargins left="0.25" right="0.25" top="0.75" bottom="0.75" header="0.3" footer="0.3"/>
  <pageSetup paperSize="8" scale="8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19" zoomScale="90" zoomScaleNormal="90" workbookViewId="0">
      <selection activeCell="H54" sqref="H54"/>
    </sheetView>
  </sheetViews>
  <sheetFormatPr defaultRowHeight="15" x14ac:dyDescent="0.25"/>
  <cols>
    <col min="2" max="2" width="29" customWidth="1"/>
    <col min="3" max="3" width="28.5703125" style="3" customWidth="1"/>
    <col min="4" max="4" width="29.28515625" style="3" customWidth="1"/>
    <col min="5" max="5" width="9.140625" style="3"/>
    <col min="6" max="6" width="0.85546875" style="17" customWidth="1"/>
    <col min="8" max="8" width="14" customWidth="1"/>
    <col min="9" max="9" width="9.140625" style="7"/>
    <col min="10" max="10" width="12.7109375" style="7" bestFit="1" customWidth="1"/>
    <col min="11" max="11" width="12" style="20" customWidth="1"/>
    <col min="12" max="12" width="11" customWidth="1"/>
  </cols>
  <sheetData>
    <row r="1" spans="1:12" x14ac:dyDescent="0.25">
      <c r="A1" s="12" t="s">
        <v>91</v>
      </c>
    </row>
    <row r="2" spans="1:12" x14ac:dyDescent="0.25">
      <c r="A2" t="s">
        <v>89</v>
      </c>
      <c r="B2" s="1"/>
    </row>
    <row r="3" spans="1:12" x14ac:dyDescent="0.25">
      <c r="A3" t="s">
        <v>32</v>
      </c>
      <c r="B3" s="2" t="s">
        <v>0</v>
      </c>
      <c r="C3" s="3" t="s">
        <v>29</v>
      </c>
      <c r="D3" s="3" t="s">
        <v>30</v>
      </c>
      <c r="E3" s="3" t="s">
        <v>1</v>
      </c>
      <c r="G3" s="3" t="s">
        <v>36</v>
      </c>
      <c r="H3" s="3" t="s">
        <v>37</v>
      </c>
      <c r="I3" s="3" t="s">
        <v>38</v>
      </c>
      <c r="J3" s="3" t="s">
        <v>39</v>
      </c>
      <c r="K3" s="21" t="s">
        <v>78</v>
      </c>
      <c r="L3" s="3" t="s">
        <v>79</v>
      </c>
    </row>
    <row r="4" spans="1:12" x14ac:dyDescent="0.25">
      <c r="A4">
        <v>1</v>
      </c>
      <c r="B4" s="1" t="s">
        <v>2</v>
      </c>
      <c r="C4" s="3">
        <f>3.95+0.2+0.3</f>
        <v>4.45</v>
      </c>
      <c r="D4" s="3">
        <v>3.1</v>
      </c>
      <c r="E4" s="3">
        <f>C4*D4</f>
        <v>13.795000000000002</v>
      </c>
      <c r="G4">
        <f>G53</f>
        <v>0.11</v>
      </c>
      <c r="H4">
        <v>1</v>
      </c>
      <c r="I4" s="7">
        <f t="shared" ref="I4:I9" si="0">G4*H4</f>
        <v>0.11</v>
      </c>
      <c r="J4" s="7">
        <f t="shared" ref="J4:J9" si="1">I4*E4</f>
        <v>1.5174500000000002</v>
      </c>
      <c r="K4" s="20">
        <f>H53*$E$4</f>
        <v>9546.1400000000012</v>
      </c>
      <c r="L4" s="20">
        <f>I53*$E$4</f>
        <v>5945.6450000000004</v>
      </c>
    </row>
    <row r="5" spans="1:12" x14ac:dyDescent="0.25">
      <c r="A5">
        <v>2</v>
      </c>
      <c r="B5" s="1" t="s">
        <v>3</v>
      </c>
      <c r="C5" s="3">
        <f>7.3+0.15+0.15</f>
        <v>7.6000000000000005</v>
      </c>
      <c r="D5" s="3">
        <v>3.1</v>
      </c>
      <c r="E5" s="3">
        <f>C5*D5-E6</f>
        <v>17.983000000000004</v>
      </c>
      <c r="G5">
        <f>G54</f>
        <v>0.2</v>
      </c>
      <c r="H5">
        <v>1</v>
      </c>
      <c r="I5" s="7">
        <f t="shared" si="0"/>
        <v>0.2</v>
      </c>
      <c r="J5" s="7">
        <f t="shared" si="1"/>
        <v>3.5966000000000009</v>
      </c>
      <c r="K5" s="20">
        <f>H54*$E$5</f>
        <v>10214.344000000003</v>
      </c>
      <c r="L5" s="20">
        <f>I54*$E$5</f>
        <v>7750.6730000000016</v>
      </c>
    </row>
    <row r="6" spans="1:12" s="4" customFormat="1" x14ac:dyDescent="0.25">
      <c r="A6" s="4">
        <v>3</v>
      </c>
      <c r="B6" s="5" t="s">
        <v>4</v>
      </c>
      <c r="C6" s="6">
        <v>1.65</v>
      </c>
      <c r="D6" s="6">
        <v>1.69</v>
      </c>
      <c r="E6" s="6">
        <f>2*D6*C6</f>
        <v>5.577</v>
      </c>
      <c r="F6" s="18"/>
      <c r="G6">
        <f>G55</f>
        <v>0.83</v>
      </c>
      <c r="H6">
        <v>1.1499999999999999</v>
      </c>
      <c r="I6" s="7">
        <f t="shared" si="0"/>
        <v>0.9544999999999999</v>
      </c>
      <c r="J6" s="7">
        <f t="shared" si="1"/>
        <v>5.3232464999999998</v>
      </c>
      <c r="K6" s="22">
        <f>H55*$E$6</f>
        <v>45186.172523961664</v>
      </c>
      <c r="L6" s="22">
        <f>I55*$E$6</f>
        <v>0</v>
      </c>
    </row>
    <row r="7" spans="1:12" x14ac:dyDescent="0.25">
      <c r="A7">
        <v>4</v>
      </c>
      <c r="B7" s="1" t="s">
        <v>31</v>
      </c>
      <c r="C7" s="3">
        <f>3.95+0.2+0.3</f>
        <v>4.45</v>
      </c>
      <c r="D7" s="3">
        <v>3.1</v>
      </c>
      <c r="E7" s="3">
        <f>C7*D7</f>
        <v>13.795000000000002</v>
      </c>
      <c r="G7">
        <f>G56</f>
        <v>1.7</v>
      </c>
      <c r="H7">
        <v>0.14000000000000001</v>
      </c>
      <c r="I7" s="7">
        <f t="shared" si="0"/>
        <v>0.23800000000000002</v>
      </c>
      <c r="J7" s="7">
        <f t="shared" si="1"/>
        <v>3.2832100000000008</v>
      </c>
      <c r="K7" s="20">
        <f>H56*$E$7</f>
        <v>0</v>
      </c>
      <c r="L7" s="20">
        <f>I56*$E$7</f>
        <v>0</v>
      </c>
    </row>
    <row r="8" spans="1:12" x14ac:dyDescent="0.25">
      <c r="A8">
        <v>5</v>
      </c>
      <c r="B8" s="1" t="s">
        <v>5</v>
      </c>
      <c r="C8" s="3">
        <f>C5</f>
        <v>7.6000000000000005</v>
      </c>
      <c r="D8" s="3">
        <f>C4</f>
        <v>4.45</v>
      </c>
      <c r="E8" s="3">
        <f>C8*D8</f>
        <v>33.82</v>
      </c>
      <c r="G8">
        <f>G52</f>
        <v>0.09</v>
      </c>
      <c r="H8">
        <v>0.83</v>
      </c>
      <c r="I8" s="7">
        <f t="shared" si="0"/>
        <v>7.4699999999999989E-2</v>
      </c>
      <c r="J8" s="7">
        <f t="shared" si="1"/>
        <v>2.5263539999999995</v>
      </c>
      <c r="K8" s="20">
        <f>H52*$E$8</f>
        <v>16233.6</v>
      </c>
      <c r="L8" s="20">
        <f>I52*$E$8</f>
        <v>16910</v>
      </c>
    </row>
    <row r="9" spans="1:12" x14ac:dyDescent="0.25">
      <c r="A9">
        <v>6</v>
      </c>
      <c r="B9" s="1" t="s">
        <v>6</v>
      </c>
      <c r="C9" s="3">
        <f>C8</f>
        <v>7.6000000000000005</v>
      </c>
      <c r="D9" s="3">
        <f>D8</f>
        <v>4.45</v>
      </c>
      <c r="E9" s="3">
        <f>C9*D9</f>
        <v>33.82</v>
      </c>
      <c r="G9">
        <f>G49</f>
        <v>0.12</v>
      </c>
      <c r="H9">
        <v>0.4</v>
      </c>
      <c r="I9" s="7">
        <f t="shared" si="0"/>
        <v>4.8000000000000001E-2</v>
      </c>
      <c r="J9" s="7">
        <f t="shared" si="1"/>
        <v>1.6233600000000001</v>
      </c>
      <c r="K9" s="20">
        <f>H49*$E$9</f>
        <v>28476.44</v>
      </c>
      <c r="L9" s="20">
        <f>I49*$E$9</f>
        <v>9334.32</v>
      </c>
    </row>
    <row r="10" spans="1:12" x14ac:dyDescent="0.25">
      <c r="B10" s="1"/>
      <c r="L10" s="20"/>
    </row>
    <row r="11" spans="1:12" x14ac:dyDescent="0.25">
      <c r="B11" s="2" t="s">
        <v>7</v>
      </c>
      <c r="L11" s="20"/>
    </row>
    <row r="12" spans="1:12" x14ac:dyDescent="0.25">
      <c r="A12">
        <v>7</v>
      </c>
      <c r="B12" s="1" t="s">
        <v>8</v>
      </c>
      <c r="C12" s="3">
        <v>2.65</v>
      </c>
      <c r="D12" s="3">
        <v>2.7</v>
      </c>
      <c r="E12" s="3">
        <f>C12*D12-E13</f>
        <v>5.6550000000000002</v>
      </c>
      <c r="G12">
        <f>$G$47</f>
        <v>0.11</v>
      </c>
      <c r="H12">
        <v>1</v>
      </c>
      <c r="I12" s="7">
        <f t="shared" ref="I12:I26" si="2">G12*H12</f>
        <v>0.11</v>
      </c>
      <c r="J12" s="7">
        <f t="shared" ref="J12:J26" si="3">I12*E12</f>
        <v>0.62204999999999999</v>
      </c>
      <c r="K12" s="20">
        <f>H$47*$E$12</f>
        <v>8267.61</v>
      </c>
      <c r="L12" s="20">
        <f>I$47*$E$12</f>
        <v>4416.5550000000003</v>
      </c>
    </row>
    <row r="13" spans="1:12" s="4" customFormat="1" x14ac:dyDescent="0.25">
      <c r="A13" s="4">
        <v>8</v>
      </c>
      <c r="B13" s="5" t="s">
        <v>9</v>
      </c>
      <c r="C13" s="6">
        <v>0.6</v>
      </c>
      <c r="D13" s="6">
        <v>2.5</v>
      </c>
      <c r="E13" s="6">
        <f>C13*D13</f>
        <v>1.5</v>
      </c>
      <c r="F13" s="18"/>
      <c r="G13">
        <f>$G$48</f>
        <v>0.83</v>
      </c>
      <c r="H13">
        <v>1.1499999999999999</v>
      </c>
      <c r="I13" s="7">
        <f t="shared" si="2"/>
        <v>0.9544999999999999</v>
      </c>
      <c r="J13" s="7">
        <f t="shared" si="3"/>
        <v>1.4317499999999999</v>
      </c>
      <c r="K13" s="22">
        <f>H$48*$E$13</f>
        <v>12153.35463258786</v>
      </c>
      <c r="L13" s="22">
        <f>I$48*$E$13</f>
        <v>0</v>
      </c>
    </row>
    <row r="14" spans="1:12" s="4" customFormat="1" x14ac:dyDescent="0.25">
      <c r="A14" s="4">
        <v>9</v>
      </c>
      <c r="B14" s="5" t="s">
        <v>10</v>
      </c>
      <c r="C14" s="6">
        <v>1.9</v>
      </c>
      <c r="D14" s="6">
        <v>2.5</v>
      </c>
      <c r="E14" s="6">
        <f>C14*D14</f>
        <v>4.75</v>
      </c>
      <c r="F14" s="18"/>
      <c r="G14">
        <f>$G$48</f>
        <v>0.83</v>
      </c>
      <c r="H14">
        <v>1.1499999999999999</v>
      </c>
      <c r="I14" s="7">
        <f t="shared" si="2"/>
        <v>0.9544999999999999</v>
      </c>
      <c r="J14" s="7">
        <f t="shared" si="3"/>
        <v>4.5338749999999992</v>
      </c>
      <c r="K14" s="22">
        <f>H$48*$E$14</f>
        <v>38485.623003194887</v>
      </c>
      <c r="L14" s="22">
        <f>I$48*$E$14</f>
        <v>0</v>
      </c>
    </row>
    <row r="15" spans="1:12" x14ac:dyDescent="0.25">
      <c r="A15">
        <v>10</v>
      </c>
      <c r="B15" s="1" t="s">
        <v>11</v>
      </c>
      <c r="C15" s="3">
        <f>4.4+0.25+0.25</f>
        <v>4.9000000000000004</v>
      </c>
      <c r="D15" s="3">
        <v>2.7</v>
      </c>
      <c r="E15" s="3">
        <f>C15*D15</f>
        <v>13.230000000000002</v>
      </c>
      <c r="G15">
        <f>$G$47</f>
        <v>0.11</v>
      </c>
      <c r="H15">
        <v>1</v>
      </c>
      <c r="I15" s="7">
        <f t="shared" si="2"/>
        <v>0.11</v>
      </c>
      <c r="J15" s="7">
        <f t="shared" si="3"/>
        <v>1.4553000000000003</v>
      </c>
      <c r="K15" s="20">
        <f>H$47*$E$15</f>
        <v>19342.260000000002</v>
      </c>
      <c r="L15" s="20">
        <f>I$47*$E$15</f>
        <v>10332.630000000001</v>
      </c>
    </row>
    <row r="16" spans="1:12" x14ac:dyDescent="0.25">
      <c r="A16">
        <v>11</v>
      </c>
      <c r="B16" s="1" t="s">
        <v>12</v>
      </c>
      <c r="C16" s="3">
        <f>3.3-0.25</f>
        <v>3.05</v>
      </c>
      <c r="D16" s="3">
        <v>2.7</v>
      </c>
      <c r="E16" s="3">
        <f>C16*D16</f>
        <v>8.2349999999999994</v>
      </c>
      <c r="G16">
        <f>$G$47</f>
        <v>0.11</v>
      </c>
      <c r="H16">
        <v>1</v>
      </c>
      <c r="I16" s="7">
        <f t="shared" si="2"/>
        <v>0.11</v>
      </c>
      <c r="J16" s="7">
        <f t="shared" si="3"/>
        <v>0.90584999999999993</v>
      </c>
      <c r="K16" s="20">
        <f>H$47*$E$16</f>
        <v>12039.57</v>
      </c>
      <c r="L16" s="20">
        <f>I$47*$E$16</f>
        <v>6431.5349999999999</v>
      </c>
    </row>
    <row r="17" spans="1:12" s="4" customFormat="1" x14ac:dyDescent="0.25">
      <c r="A17" s="4">
        <v>12</v>
      </c>
      <c r="B17" s="5" t="s">
        <v>13</v>
      </c>
      <c r="C17" s="6">
        <v>1.05</v>
      </c>
      <c r="D17" s="6">
        <v>2.5</v>
      </c>
      <c r="E17" s="6">
        <f>C17*D17</f>
        <v>2.625</v>
      </c>
      <c r="F17" s="18"/>
      <c r="G17">
        <f>$G$48</f>
        <v>0.83</v>
      </c>
      <c r="H17">
        <v>1.1499999999999999</v>
      </c>
      <c r="I17" s="7">
        <f t="shared" si="2"/>
        <v>0.9544999999999999</v>
      </c>
      <c r="J17" s="7">
        <f t="shared" si="3"/>
        <v>2.5055624999999999</v>
      </c>
      <c r="K17" s="22">
        <f>H$48*$E$17</f>
        <v>21268.370607028755</v>
      </c>
      <c r="L17" s="22">
        <f>I$48*$E$17</f>
        <v>0</v>
      </c>
    </row>
    <row r="18" spans="1:12" x14ac:dyDescent="0.25">
      <c r="A18">
        <v>13</v>
      </c>
      <c r="B18" s="1" t="s">
        <v>14</v>
      </c>
      <c r="C18" s="3">
        <v>3.1</v>
      </c>
      <c r="D18" s="3">
        <v>2.7</v>
      </c>
      <c r="E18" s="3">
        <f>C18*D18-E19</f>
        <v>3.870000000000001</v>
      </c>
      <c r="G18">
        <f>$G$47</f>
        <v>0.11</v>
      </c>
      <c r="H18">
        <v>1</v>
      </c>
      <c r="I18" s="7">
        <f t="shared" si="2"/>
        <v>0.11</v>
      </c>
      <c r="J18" s="7">
        <f t="shared" si="3"/>
        <v>0.42570000000000013</v>
      </c>
      <c r="K18" s="20">
        <f>H$47*$E$18</f>
        <v>5657.9400000000014</v>
      </c>
      <c r="L18" s="20">
        <f>I$47*$E$18</f>
        <v>3022.4700000000007</v>
      </c>
    </row>
    <row r="19" spans="1:12" s="4" customFormat="1" x14ac:dyDescent="0.25">
      <c r="A19" s="4">
        <v>14</v>
      </c>
      <c r="B19" s="5" t="s">
        <v>15</v>
      </c>
      <c r="C19" s="6">
        <v>1.8</v>
      </c>
      <c r="D19" s="6">
        <v>2.5</v>
      </c>
      <c r="E19" s="6">
        <f>C19*D19</f>
        <v>4.5</v>
      </c>
      <c r="F19" s="18"/>
      <c r="G19">
        <f>$G$48</f>
        <v>0.83</v>
      </c>
      <c r="H19">
        <v>1.1499999999999999</v>
      </c>
      <c r="I19" s="7">
        <f t="shared" si="2"/>
        <v>0.9544999999999999</v>
      </c>
      <c r="J19" s="7">
        <f t="shared" si="3"/>
        <v>4.2952499999999993</v>
      </c>
      <c r="K19" s="22">
        <f>H$48*$E$19</f>
        <v>36460.063897763583</v>
      </c>
      <c r="L19" s="22">
        <f>I$48*$E$19</f>
        <v>0</v>
      </c>
    </row>
    <row r="20" spans="1:12" x14ac:dyDescent="0.25">
      <c r="A20">
        <v>15</v>
      </c>
      <c r="B20" s="1" t="s">
        <v>16</v>
      </c>
      <c r="C20" s="3">
        <v>3.1</v>
      </c>
      <c r="D20" s="3">
        <v>2.7</v>
      </c>
      <c r="E20" s="3">
        <f>C20*D20-E21</f>
        <v>6.870000000000001</v>
      </c>
      <c r="G20">
        <f>$G$47</f>
        <v>0.11</v>
      </c>
      <c r="H20">
        <v>1</v>
      </c>
      <c r="I20" s="7">
        <f t="shared" si="2"/>
        <v>0.11</v>
      </c>
      <c r="J20" s="7">
        <f t="shared" si="3"/>
        <v>0.75570000000000015</v>
      </c>
      <c r="K20" s="20">
        <f>H$47*$E$20</f>
        <v>10043.940000000002</v>
      </c>
      <c r="L20" s="20">
        <f>I$47*$E$20</f>
        <v>5365.4700000000012</v>
      </c>
    </row>
    <row r="21" spans="1:12" s="4" customFormat="1" x14ac:dyDescent="0.25">
      <c r="A21" s="4">
        <v>16</v>
      </c>
      <c r="B21" s="5" t="s">
        <v>17</v>
      </c>
      <c r="C21" s="6">
        <v>0.6</v>
      </c>
      <c r="D21" s="6">
        <v>2.5</v>
      </c>
      <c r="E21" s="6">
        <f>C21*D21</f>
        <v>1.5</v>
      </c>
      <c r="F21" s="18"/>
      <c r="G21">
        <f>$G$48</f>
        <v>0.83</v>
      </c>
      <c r="H21">
        <v>1.1499999999999999</v>
      </c>
      <c r="I21" s="7">
        <f t="shared" si="2"/>
        <v>0.9544999999999999</v>
      </c>
      <c r="J21" s="7">
        <f t="shared" si="3"/>
        <v>1.4317499999999999</v>
      </c>
      <c r="K21" s="22">
        <f>H$48*$E$21</f>
        <v>12153.35463258786</v>
      </c>
      <c r="L21" s="22">
        <f>I$48*$E$21</f>
        <v>0</v>
      </c>
    </row>
    <row r="22" spans="1:12" x14ac:dyDescent="0.25">
      <c r="A22">
        <v>17</v>
      </c>
      <c r="B22" s="1" t="s">
        <v>34</v>
      </c>
      <c r="C22" s="3">
        <f>11.2-0.15-0.25</f>
        <v>10.799999999999999</v>
      </c>
      <c r="D22" s="3">
        <v>2.7</v>
      </c>
      <c r="E22" s="3">
        <f>C22*D22</f>
        <v>29.16</v>
      </c>
      <c r="G22">
        <f>G59</f>
        <v>0.17</v>
      </c>
      <c r="H22">
        <v>0.56999999999999995</v>
      </c>
      <c r="I22" s="7">
        <f t="shared" si="2"/>
        <v>9.69E-2</v>
      </c>
      <c r="J22" s="7">
        <f t="shared" si="3"/>
        <v>2.8256040000000002</v>
      </c>
      <c r="K22" s="20">
        <f>H59*$E$22</f>
        <v>50942.52</v>
      </c>
      <c r="L22" s="20">
        <f>I59*$E$22</f>
        <v>29801.52</v>
      </c>
    </row>
    <row r="23" spans="1:12" s="4" customFormat="1" x14ac:dyDescent="0.25">
      <c r="A23" s="4">
        <v>18</v>
      </c>
      <c r="B23" s="5" t="s">
        <v>35</v>
      </c>
      <c r="C23" s="6">
        <v>1.9</v>
      </c>
      <c r="D23" s="6">
        <v>2.5</v>
      </c>
      <c r="E23" s="6">
        <f>C23*D23</f>
        <v>4.75</v>
      </c>
      <c r="F23" s="18"/>
      <c r="G23">
        <f>$G$48</f>
        <v>0.83</v>
      </c>
      <c r="H23">
        <v>1.1499999999999999</v>
      </c>
      <c r="I23" s="7">
        <f t="shared" si="2"/>
        <v>0.9544999999999999</v>
      </c>
      <c r="J23" s="7">
        <f t="shared" si="3"/>
        <v>4.5338749999999992</v>
      </c>
      <c r="K23" s="22">
        <f>H$48*$E$23</f>
        <v>38485.623003194887</v>
      </c>
      <c r="L23" s="22">
        <f>I$48*$E$23</f>
        <v>0</v>
      </c>
    </row>
    <row r="24" spans="1:12" x14ac:dyDescent="0.25">
      <c r="A24">
        <v>19</v>
      </c>
      <c r="B24" s="1" t="s">
        <v>18</v>
      </c>
      <c r="C24" s="3">
        <f>9.95-0.25</f>
        <v>9.6999999999999993</v>
      </c>
      <c r="D24" s="3">
        <v>2.7</v>
      </c>
      <c r="E24" s="3">
        <f>C24*D24-E23</f>
        <v>21.44</v>
      </c>
      <c r="G24">
        <f>G58</f>
        <v>0.35</v>
      </c>
      <c r="H24">
        <v>0.14000000000000001</v>
      </c>
      <c r="I24" s="7">
        <f t="shared" si="2"/>
        <v>4.9000000000000002E-2</v>
      </c>
      <c r="J24" s="7">
        <f t="shared" si="3"/>
        <v>1.0505600000000002</v>
      </c>
      <c r="K24" s="20">
        <f>H58*$E$24</f>
        <v>19939.2</v>
      </c>
      <c r="L24" s="20">
        <f>I58*$E$24</f>
        <v>16744.64</v>
      </c>
    </row>
    <row r="25" spans="1:12" x14ac:dyDescent="0.25">
      <c r="A25">
        <v>20</v>
      </c>
      <c r="B25" s="1" t="s">
        <v>19</v>
      </c>
      <c r="E25" s="3">
        <f>C22*C15+E26</f>
        <v>83.314999999999998</v>
      </c>
      <c r="G25">
        <f>G49</f>
        <v>0.12</v>
      </c>
      <c r="H25">
        <v>0.4</v>
      </c>
      <c r="I25" s="7">
        <f t="shared" si="2"/>
        <v>4.8000000000000001E-2</v>
      </c>
      <c r="J25" s="7">
        <f t="shared" si="3"/>
        <v>3.99912</v>
      </c>
      <c r="K25" s="20">
        <f>H49*$E$25</f>
        <v>70151.23</v>
      </c>
      <c r="L25" s="20">
        <f>I49*$E$25</f>
        <v>22994.94</v>
      </c>
    </row>
    <row r="26" spans="1:12" x14ac:dyDescent="0.25">
      <c r="A26">
        <v>21</v>
      </c>
      <c r="B26" s="1" t="s">
        <v>33</v>
      </c>
      <c r="E26" s="3">
        <f>7.9*4.75-3.1*2.3</f>
        <v>30.395</v>
      </c>
      <c r="G26">
        <f>G50</f>
        <v>0.09</v>
      </c>
      <c r="H26">
        <v>1</v>
      </c>
      <c r="I26" s="7">
        <f t="shared" si="2"/>
        <v>0.09</v>
      </c>
      <c r="J26" s="7">
        <f t="shared" si="3"/>
        <v>2.7355499999999999</v>
      </c>
      <c r="K26" s="20">
        <f>H50*$E$26</f>
        <v>26838.785</v>
      </c>
      <c r="L26" s="20">
        <f>I50*$E$26</f>
        <v>15197.5</v>
      </c>
    </row>
    <row r="27" spans="1:12" x14ac:dyDescent="0.25">
      <c r="B27" s="1"/>
      <c r="L27" s="20"/>
    </row>
    <row r="28" spans="1:12" x14ac:dyDescent="0.25">
      <c r="B28" s="2" t="s">
        <v>20</v>
      </c>
      <c r="L28" s="20"/>
    </row>
    <row r="29" spans="1:12" x14ac:dyDescent="0.25">
      <c r="A29">
        <v>22</v>
      </c>
      <c r="B29" s="1" t="s">
        <v>21</v>
      </c>
      <c r="C29" s="3">
        <f>4.4+0.25+0.25</f>
        <v>4.9000000000000004</v>
      </c>
      <c r="D29" s="3">
        <v>2.95</v>
      </c>
      <c r="E29" s="3">
        <f>C29*D29</f>
        <v>14.455000000000002</v>
      </c>
      <c r="G29">
        <f>$G$47</f>
        <v>0.11</v>
      </c>
      <c r="H29">
        <v>1</v>
      </c>
      <c r="I29" s="7">
        <f t="shared" ref="I29:I36" si="4">G29*H29</f>
        <v>0.11</v>
      </c>
      <c r="J29" s="7">
        <f t="shared" ref="J29:J36" si="5">I29*E29</f>
        <v>1.5900500000000002</v>
      </c>
      <c r="K29" s="20">
        <f>H$47*$E$29</f>
        <v>21133.210000000003</v>
      </c>
      <c r="L29" s="20">
        <f>I$47*$E$29</f>
        <v>11289.355000000001</v>
      </c>
    </row>
    <row r="30" spans="1:12" x14ac:dyDescent="0.25">
      <c r="A30">
        <v>23</v>
      </c>
      <c r="B30" s="1" t="s">
        <v>22</v>
      </c>
      <c r="C30" s="3">
        <f>4.4+0.25+0.25</f>
        <v>4.9000000000000004</v>
      </c>
      <c r="D30" s="3">
        <v>2.95</v>
      </c>
      <c r="E30" s="3">
        <f>C30*D30</f>
        <v>14.455000000000002</v>
      </c>
      <c r="G30">
        <f>G58</f>
        <v>0.35</v>
      </c>
      <c r="H30">
        <v>0.14000000000000001</v>
      </c>
      <c r="I30" s="7">
        <f t="shared" si="4"/>
        <v>4.9000000000000002E-2</v>
      </c>
      <c r="J30" s="7">
        <f t="shared" si="5"/>
        <v>0.70829500000000012</v>
      </c>
      <c r="K30" s="20">
        <f>H58*$E$30</f>
        <v>13443.150000000001</v>
      </c>
      <c r="L30" s="20">
        <f>I58*$E$30</f>
        <v>11289.355000000001</v>
      </c>
    </row>
    <row r="31" spans="1:12" x14ac:dyDescent="0.25">
      <c r="A31">
        <v>24</v>
      </c>
      <c r="B31" s="1" t="s">
        <v>23</v>
      </c>
      <c r="C31" s="3">
        <f>11.2-0.15-0.25</f>
        <v>10.799999999999999</v>
      </c>
      <c r="D31" s="3">
        <v>2.95</v>
      </c>
      <c r="E31" s="3">
        <f>C31*D31-E32</f>
        <v>22.86</v>
      </c>
      <c r="G31">
        <f>$G$47</f>
        <v>0.11</v>
      </c>
      <c r="H31">
        <v>1</v>
      </c>
      <c r="I31" s="7">
        <f t="shared" si="4"/>
        <v>0.11</v>
      </c>
      <c r="J31" s="7">
        <f t="shared" si="5"/>
        <v>2.5146000000000002</v>
      </c>
      <c r="K31" s="20">
        <f>H$47*$E$31</f>
        <v>33421.32</v>
      </c>
      <c r="L31" s="20">
        <f>I$47*$E$31</f>
        <v>17853.66</v>
      </c>
    </row>
    <row r="32" spans="1:12" s="4" customFormat="1" x14ac:dyDescent="0.25">
      <c r="A32" s="4">
        <v>25</v>
      </c>
      <c r="B32" s="5" t="s">
        <v>24</v>
      </c>
      <c r="C32" s="6">
        <v>3.6</v>
      </c>
      <c r="D32" s="6">
        <v>2.5</v>
      </c>
      <c r="E32" s="6">
        <f>C32*D32</f>
        <v>9</v>
      </c>
      <c r="F32" s="18"/>
      <c r="G32">
        <f>$G$48</f>
        <v>0.83</v>
      </c>
      <c r="H32">
        <v>1.1499999999999999</v>
      </c>
      <c r="I32" s="7">
        <f t="shared" si="4"/>
        <v>0.9544999999999999</v>
      </c>
      <c r="J32" s="7">
        <f t="shared" si="5"/>
        <v>8.5904999999999987</v>
      </c>
      <c r="K32" s="22">
        <f>H$48*$E$32</f>
        <v>72920.127795527165</v>
      </c>
      <c r="L32" s="22">
        <f>I$48*$E$32</f>
        <v>0</v>
      </c>
    </row>
    <row r="33" spans="1:12" x14ac:dyDescent="0.25">
      <c r="A33">
        <v>26</v>
      </c>
      <c r="B33" s="1" t="s">
        <v>25</v>
      </c>
      <c r="C33" s="3">
        <f>11.2-0.15-0.25</f>
        <v>10.799999999999999</v>
      </c>
      <c r="D33" s="3">
        <v>2.95</v>
      </c>
      <c r="E33" s="3">
        <f>C33*D33-E34-E35</f>
        <v>21.36</v>
      </c>
      <c r="G33">
        <f>$G$47</f>
        <v>0.11</v>
      </c>
      <c r="H33">
        <v>1</v>
      </c>
      <c r="I33" s="7">
        <f t="shared" si="4"/>
        <v>0.11</v>
      </c>
      <c r="J33" s="7">
        <f t="shared" si="5"/>
        <v>2.3496000000000001</v>
      </c>
      <c r="K33" s="20">
        <f>H$47*$E$33</f>
        <v>31228.32</v>
      </c>
      <c r="L33" s="20">
        <f>I$47*$E$33</f>
        <v>16682.16</v>
      </c>
    </row>
    <row r="34" spans="1:12" s="4" customFormat="1" x14ac:dyDescent="0.25">
      <c r="A34" s="4">
        <v>27</v>
      </c>
      <c r="B34" s="5" t="s">
        <v>26</v>
      </c>
      <c r="C34" s="6">
        <v>3.6</v>
      </c>
      <c r="D34" s="6">
        <v>2.5</v>
      </c>
      <c r="E34" s="6">
        <f>C34*D34</f>
        <v>9</v>
      </c>
      <c r="F34" s="18"/>
      <c r="G34">
        <f>$G$48</f>
        <v>0.83</v>
      </c>
      <c r="H34">
        <v>1.1499999999999999</v>
      </c>
      <c r="I34" s="7">
        <f t="shared" si="4"/>
        <v>0.9544999999999999</v>
      </c>
      <c r="J34" s="7">
        <f t="shared" si="5"/>
        <v>8.5904999999999987</v>
      </c>
      <c r="K34" s="22">
        <f>H$48*$E$34</f>
        <v>72920.127795527165</v>
      </c>
      <c r="L34" s="22">
        <f>I$48*$E$34</f>
        <v>0</v>
      </c>
    </row>
    <row r="35" spans="1:12" s="4" customFormat="1" x14ac:dyDescent="0.25">
      <c r="A35" s="4">
        <v>28</v>
      </c>
      <c r="B35" s="5" t="s">
        <v>27</v>
      </c>
      <c r="C35" s="6">
        <v>0.6</v>
      </c>
      <c r="D35" s="6">
        <v>2.5</v>
      </c>
      <c r="E35" s="6">
        <f>C35*D35</f>
        <v>1.5</v>
      </c>
      <c r="F35" s="18"/>
      <c r="G35">
        <f>$G$48</f>
        <v>0.83</v>
      </c>
      <c r="H35">
        <v>1.1499999999999999</v>
      </c>
      <c r="I35" s="7">
        <f t="shared" si="4"/>
        <v>0.9544999999999999</v>
      </c>
      <c r="J35" s="7">
        <f t="shared" si="5"/>
        <v>1.4317499999999999</v>
      </c>
      <c r="K35" s="22">
        <f>H$48*$E$35</f>
        <v>12153.35463258786</v>
      </c>
      <c r="L35" s="22">
        <f>I$48*$E$35</f>
        <v>0</v>
      </c>
    </row>
    <row r="36" spans="1:12" x14ac:dyDescent="0.25">
      <c r="A36">
        <v>29</v>
      </c>
      <c r="B36" s="1" t="s">
        <v>28</v>
      </c>
      <c r="C36" s="3">
        <f>C33</f>
        <v>10.799999999999999</v>
      </c>
      <c r="D36" s="3">
        <f>C29</f>
        <v>4.9000000000000004</v>
      </c>
      <c r="E36" s="3">
        <f>C36*D36</f>
        <v>52.92</v>
      </c>
      <c r="G36">
        <f>G51</f>
        <v>7.0000000000000007E-2</v>
      </c>
      <c r="H36">
        <v>1</v>
      </c>
      <c r="I36" s="7">
        <f t="shared" si="4"/>
        <v>7.0000000000000007E-2</v>
      </c>
      <c r="J36" s="7">
        <f t="shared" si="5"/>
        <v>3.7044000000000006</v>
      </c>
      <c r="K36" s="20">
        <f>H51*E$36</f>
        <v>55036.800000000003</v>
      </c>
      <c r="L36" s="20">
        <f>I51*F$36</f>
        <v>0</v>
      </c>
    </row>
    <row r="37" spans="1:12" x14ac:dyDescent="0.25">
      <c r="B37" s="1"/>
      <c r="L37" s="20"/>
    </row>
    <row r="38" spans="1:12" x14ac:dyDescent="0.25">
      <c r="B38" s="2" t="s">
        <v>45</v>
      </c>
      <c r="E38" s="3">
        <f>SUM(E4:E37)</f>
        <v>486.13499999999993</v>
      </c>
      <c r="G38">
        <v>0.1</v>
      </c>
      <c r="H38">
        <v>1</v>
      </c>
      <c r="I38" s="7">
        <f>G38*H38</f>
        <v>0.1</v>
      </c>
      <c r="J38" s="7">
        <f>I38*E38</f>
        <v>48.613499999999995</v>
      </c>
      <c r="L38" s="20"/>
    </row>
    <row r="39" spans="1:12" x14ac:dyDescent="0.25">
      <c r="B39" s="2"/>
      <c r="L39" s="20"/>
    </row>
    <row r="40" spans="1:12" x14ac:dyDescent="0.25">
      <c r="B40" s="8"/>
      <c r="E40" s="24" t="s">
        <v>87</v>
      </c>
      <c r="G40" s="10">
        <f>J40/E38</f>
        <v>0.26632707375523262</v>
      </c>
      <c r="J40" s="9">
        <f>SUM(J4:J38)</f>
        <v>129.470912</v>
      </c>
      <c r="K40" s="21">
        <f>SUM(K4:K38)</f>
        <v>804142.55152396159</v>
      </c>
      <c r="L40" s="21">
        <f>SUM(L4:L38)</f>
        <v>211362.42800000004</v>
      </c>
    </row>
    <row r="41" spans="1:12" x14ac:dyDescent="0.25">
      <c r="B41" s="1"/>
      <c r="K41" s="21" t="s">
        <v>81</v>
      </c>
      <c r="L41" s="16" t="s">
        <v>82</v>
      </c>
    </row>
    <row r="42" spans="1:12" x14ac:dyDescent="0.25">
      <c r="B42" s="1" t="s">
        <v>40</v>
      </c>
      <c r="C42" s="3" t="s">
        <v>41</v>
      </c>
      <c r="D42" s="3">
        <v>20</v>
      </c>
    </row>
    <row r="43" spans="1:12" x14ac:dyDescent="0.25">
      <c r="B43" s="1" t="s">
        <v>42</v>
      </c>
      <c r="C43" s="3" t="s">
        <v>41</v>
      </c>
      <c r="D43" s="3">
        <v>-12</v>
      </c>
      <c r="J43" s="9">
        <f>J40*D44</f>
        <v>4143.069184</v>
      </c>
      <c r="K43" s="20" t="s">
        <v>44</v>
      </c>
    </row>
    <row r="44" spans="1:12" x14ac:dyDescent="0.25">
      <c r="B44" s="1" t="s">
        <v>43</v>
      </c>
      <c r="C44" s="3" t="s">
        <v>41</v>
      </c>
      <c r="D44" s="3">
        <f>D42-D43</f>
        <v>32</v>
      </c>
      <c r="J44" s="14">
        <f>76*0.2</f>
        <v>15.200000000000001</v>
      </c>
      <c r="K44" s="20" t="s">
        <v>88</v>
      </c>
    </row>
    <row r="46" spans="1:12" s="11" customFormat="1" x14ac:dyDescent="0.25">
      <c r="B46" s="2" t="s">
        <v>47</v>
      </c>
      <c r="C46" s="13" t="s">
        <v>48</v>
      </c>
      <c r="D46" s="13" t="s">
        <v>49</v>
      </c>
      <c r="E46" s="13"/>
      <c r="F46" s="19"/>
      <c r="G46" s="13" t="s">
        <v>36</v>
      </c>
      <c r="H46" s="13" t="s">
        <v>76</v>
      </c>
      <c r="I46" s="14" t="s">
        <v>77</v>
      </c>
      <c r="J46" s="14"/>
      <c r="K46" s="23"/>
    </row>
    <row r="47" spans="1:12" x14ac:dyDescent="0.25">
      <c r="B47" s="1" t="s">
        <v>46</v>
      </c>
      <c r="C47" s="15" t="s">
        <v>69</v>
      </c>
      <c r="D47" s="15" t="s">
        <v>68</v>
      </c>
      <c r="G47" s="16">
        <v>0.11</v>
      </c>
      <c r="H47" s="21">
        <f>770+692</f>
        <v>1462</v>
      </c>
      <c r="I47" s="20">
        <f>350+131+300</f>
        <v>781</v>
      </c>
      <c r="K47" s="23"/>
    </row>
    <row r="48" spans="1:12" x14ac:dyDescent="0.25">
      <c r="B48" s="1" t="s">
        <v>50</v>
      </c>
      <c r="C48" s="15" t="s">
        <v>61</v>
      </c>
      <c r="D48" s="15"/>
      <c r="G48" s="16">
        <v>0.83</v>
      </c>
      <c r="H48" s="21">
        <f>317000/(E35+E34+E32+E23+E21+E19+E17+E14+E13)</f>
        <v>8102.2364217252398</v>
      </c>
      <c r="I48" s="20">
        <f>0</f>
        <v>0</v>
      </c>
    </row>
    <row r="49" spans="2:9" x14ac:dyDescent="0.25">
      <c r="B49" s="1" t="s">
        <v>51</v>
      </c>
      <c r="C49" s="15" t="s">
        <v>64</v>
      </c>
      <c r="D49" s="15" t="s">
        <v>83</v>
      </c>
      <c r="G49" s="16">
        <v>0.12</v>
      </c>
      <c r="H49" s="21">
        <f>2500*0.06+692</f>
        <v>842</v>
      </c>
      <c r="I49" s="20">
        <f>156+82+38</f>
        <v>276</v>
      </c>
    </row>
    <row r="50" spans="2:9" x14ac:dyDescent="0.25">
      <c r="B50" s="1" t="s">
        <v>52</v>
      </c>
      <c r="C50" s="15" t="s">
        <v>75</v>
      </c>
      <c r="D50" s="15" t="s">
        <v>74</v>
      </c>
      <c r="G50" s="16">
        <v>0.09</v>
      </c>
      <c r="H50" s="21">
        <f>540+343</f>
        <v>883</v>
      </c>
      <c r="I50" s="20">
        <f>500</f>
        <v>500</v>
      </c>
    </row>
    <row r="51" spans="2:9" x14ac:dyDescent="0.25">
      <c r="B51" s="1" t="s">
        <v>53</v>
      </c>
      <c r="C51" s="15" t="s">
        <v>75</v>
      </c>
      <c r="D51" s="15" t="s">
        <v>84</v>
      </c>
      <c r="G51" s="16">
        <v>7.0000000000000007E-2</v>
      </c>
      <c r="H51" s="21">
        <f>540+500</f>
        <v>1040</v>
      </c>
      <c r="I51" s="20">
        <f>500</f>
        <v>500</v>
      </c>
    </row>
    <row r="52" spans="2:9" x14ac:dyDescent="0.25">
      <c r="B52" s="1" t="s">
        <v>54</v>
      </c>
      <c r="C52" s="15" t="s">
        <v>72</v>
      </c>
      <c r="D52" s="15"/>
      <c r="G52" s="16">
        <v>0.09</v>
      </c>
      <c r="H52" s="21">
        <v>480</v>
      </c>
      <c r="I52" s="20">
        <f>500</f>
        <v>500</v>
      </c>
    </row>
    <row r="53" spans="2:9" x14ac:dyDescent="0.25">
      <c r="B53" s="1" t="s">
        <v>55</v>
      </c>
      <c r="C53" s="15" t="s">
        <v>66</v>
      </c>
      <c r="D53" s="15" t="s">
        <v>68</v>
      </c>
      <c r="G53" s="16">
        <v>0.11</v>
      </c>
      <c r="H53" s="21">
        <v>692</v>
      </c>
      <c r="I53" s="20">
        <f>131+300</f>
        <v>431</v>
      </c>
    </row>
    <row r="54" spans="2:9" x14ac:dyDescent="0.25">
      <c r="B54" s="1" t="s">
        <v>56</v>
      </c>
      <c r="C54" s="15" t="s">
        <v>65</v>
      </c>
      <c r="D54" s="15" t="s">
        <v>85</v>
      </c>
      <c r="G54" s="16">
        <v>0.2</v>
      </c>
      <c r="H54" s="21">
        <v>568</v>
      </c>
      <c r="I54" s="20">
        <f>131+300</f>
        <v>431</v>
      </c>
    </row>
    <row r="55" spans="2:9" x14ac:dyDescent="0.25">
      <c r="B55" s="1" t="s">
        <v>60</v>
      </c>
      <c r="C55" s="15" t="s">
        <v>61</v>
      </c>
      <c r="D55" s="15"/>
      <c r="G55" s="16">
        <v>0.83</v>
      </c>
      <c r="H55" s="21">
        <v>8102.2364217252398</v>
      </c>
      <c r="I55" s="20">
        <f>0</f>
        <v>0</v>
      </c>
    </row>
    <row r="56" spans="2:9" x14ac:dyDescent="0.25">
      <c r="B56" s="1" t="s">
        <v>57</v>
      </c>
      <c r="C56" s="15" t="s">
        <v>66</v>
      </c>
      <c r="D56" s="15"/>
      <c r="G56" s="16">
        <v>1.7</v>
      </c>
      <c r="H56" s="21">
        <v>0</v>
      </c>
      <c r="I56" s="20">
        <v>0</v>
      </c>
    </row>
    <row r="57" spans="2:9" x14ac:dyDescent="0.25">
      <c r="C57" s="15"/>
      <c r="D57" s="15"/>
      <c r="G57" s="16"/>
      <c r="H57" s="21"/>
      <c r="I57" s="20"/>
    </row>
    <row r="58" spans="2:9" x14ac:dyDescent="0.25">
      <c r="B58" s="1" t="s">
        <v>58</v>
      </c>
      <c r="C58" s="15" t="s">
        <v>69</v>
      </c>
      <c r="D58" s="15" t="s">
        <v>70</v>
      </c>
      <c r="G58" s="16">
        <v>0.35</v>
      </c>
      <c r="H58" s="21">
        <f>770+160</f>
        <v>930</v>
      </c>
      <c r="I58" s="20">
        <f>350+131+300</f>
        <v>781</v>
      </c>
    </row>
    <row r="59" spans="2:9" x14ac:dyDescent="0.25">
      <c r="B59" s="1" t="s">
        <v>59</v>
      </c>
      <c r="C59" s="15" t="s">
        <v>71</v>
      </c>
      <c r="D59" s="15" t="s">
        <v>73</v>
      </c>
      <c r="G59" s="16">
        <v>0.17</v>
      </c>
      <c r="H59" s="21">
        <f>1070+677</f>
        <v>1747</v>
      </c>
      <c r="I59" s="20">
        <f>350+131+300+241</f>
        <v>1022</v>
      </c>
    </row>
    <row r="60" spans="2:9" x14ac:dyDescent="0.25">
      <c r="C60" s="15"/>
      <c r="D60" s="15"/>
      <c r="G60" s="16"/>
      <c r="H60" s="21"/>
      <c r="I60" s="20"/>
    </row>
    <row r="61" spans="2:9" x14ac:dyDescent="0.25">
      <c r="G61" s="16"/>
      <c r="H61" s="16"/>
    </row>
  </sheetData>
  <pageMargins left="0.25" right="0.25" top="0.75" bottom="0.75" header="0.3" footer="0.3"/>
  <pageSetup paperSize="8" scale="8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opLeftCell="A9" zoomScale="90" zoomScaleNormal="90" workbookViewId="0">
      <selection activeCell="I44" sqref="I44"/>
    </sheetView>
  </sheetViews>
  <sheetFormatPr defaultRowHeight="15" x14ac:dyDescent="0.25"/>
  <cols>
    <col min="2" max="2" width="29" customWidth="1"/>
    <col min="3" max="3" width="28.5703125" style="3" customWidth="1"/>
    <col min="4" max="4" width="29.28515625" style="3" customWidth="1"/>
    <col min="5" max="5" width="9.140625" style="3"/>
    <col min="6" max="6" width="0.85546875" style="17" customWidth="1"/>
    <col min="8" max="8" width="14" customWidth="1"/>
    <col min="9" max="9" width="9.140625" style="7"/>
    <col min="10" max="10" width="12.7109375" style="7" bestFit="1" customWidth="1"/>
    <col min="11" max="11" width="12" style="20" customWidth="1"/>
    <col min="12" max="12" width="11" customWidth="1"/>
  </cols>
  <sheetData>
    <row r="1" spans="1:12" x14ac:dyDescent="0.25">
      <c r="A1" s="12" t="s">
        <v>92</v>
      </c>
    </row>
    <row r="2" spans="1:12" x14ac:dyDescent="0.25">
      <c r="A2" t="s">
        <v>89</v>
      </c>
      <c r="B2" s="1"/>
    </row>
    <row r="3" spans="1:12" x14ac:dyDescent="0.25">
      <c r="A3" t="s">
        <v>32</v>
      </c>
      <c r="B3" s="2" t="s">
        <v>0</v>
      </c>
      <c r="C3" s="3" t="s">
        <v>29</v>
      </c>
      <c r="D3" s="3" t="s">
        <v>30</v>
      </c>
      <c r="E3" s="3" t="s">
        <v>1</v>
      </c>
      <c r="G3" s="3" t="s">
        <v>36</v>
      </c>
      <c r="H3" s="3" t="s">
        <v>37</v>
      </c>
      <c r="I3" s="3" t="s">
        <v>38</v>
      </c>
      <c r="J3" s="3" t="s">
        <v>39</v>
      </c>
      <c r="K3" s="21" t="s">
        <v>78</v>
      </c>
      <c r="L3" s="3" t="s">
        <v>79</v>
      </c>
    </row>
    <row r="4" spans="1:12" x14ac:dyDescent="0.25">
      <c r="A4">
        <v>1</v>
      </c>
      <c r="B4" s="1" t="s">
        <v>2</v>
      </c>
      <c r="C4" s="3">
        <f>3.95+0.2+0.3</f>
        <v>4.45</v>
      </c>
      <c r="D4" s="3">
        <v>3.1</v>
      </c>
      <c r="E4" s="3">
        <f>C4*D4</f>
        <v>13.795000000000002</v>
      </c>
      <c r="G4">
        <f>G53</f>
        <v>0.11</v>
      </c>
      <c r="H4">
        <v>1</v>
      </c>
      <c r="I4" s="7">
        <f t="shared" ref="I4:I9" si="0">G4*H4</f>
        <v>0.11</v>
      </c>
      <c r="J4" s="7">
        <f t="shared" ref="J4:J9" si="1">I4*E4</f>
        <v>1.5174500000000002</v>
      </c>
      <c r="K4" s="20">
        <f>H53*$E$4</f>
        <v>9546.1400000000012</v>
      </c>
      <c r="L4" s="20">
        <f>I53*$E$4</f>
        <v>5945.6450000000004</v>
      </c>
    </row>
    <row r="5" spans="1:12" x14ac:dyDescent="0.25">
      <c r="A5">
        <v>2</v>
      </c>
      <c r="B5" s="1" t="s">
        <v>3</v>
      </c>
      <c r="C5" s="3">
        <f>7.3+0.15+0.15</f>
        <v>7.6000000000000005</v>
      </c>
      <c r="D5" s="3">
        <v>3.1</v>
      </c>
      <c r="E5" s="3">
        <f>C5*D5-E6</f>
        <v>17.983000000000004</v>
      </c>
      <c r="G5">
        <f>G54</f>
        <v>0.2</v>
      </c>
      <c r="H5">
        <v>1</v>
      </c>
      <c r="I5" s="7">
        <f t="shared" si="0"/>
        <v>0.2</v>
      </c>
      <c r="J5" s="7">
        <f t="shared" si="1"/>
        <v>3.5966000000000009</v>
      </c>
      <c r="K5" s="20">
        <f>H54*$E$5</f>
        <v>10214.344000000003</v>
      </c>
      <c r="L5" s="20">
        <f>I54*$E$5</f>
        <v>7750.6730000000016</v>
      </c>
    </row>
    <row r="6" spans="1:12" s="4" customFormat="1" x14ac:dyDescent="0.25">
      <c r="A6" s="4">
        <v>3</v>
      </c>
      <c r="B6" s="5" t="s">
        <v>4</v>
      </c>
      <c r="C6" s="6">
        <v>1.65</v>
      </c>
      <c r="D6" s="6">
        <v>1.69</v>
      </c>
      <c r="E6" s="6">
        <f>2*D6*C6</f>
        <v>5.577</v>
      </c>
      <c r="F6" s="18"/>
      <c r="G6">
        <f>G55</f>
        <v>0.83</v>
      </c>
      <c r="H6">
        <v>1.1499999999999999</v>
      </c>
      <c r="I6" s="7">
        <f t="shared" si="0"/>
        <v>0.9544999999999999</v>
      </c>
      <c r="J6" s="7">
        <f t="shared" si="1"/>
        <v>5.3232464999999998</v>
      </c>
      <c r="K6" s="22">
        <f>H55*$E$6</f>
        <v>45186.172523961664</v>
      </c>
      <c r="L6" s="22">
        <f>I55*$E$6</f>
        <v>0</v>
      </c>
    </row>
    <row r="7" spans="1:12" x14ac:dyDescent="0.25">
      <c r="A7">
        <v>4</v>
      </c>
      <c r="B7" s="1" t="s">
        <v>31</v>
      </c>
      <c r="C7" s="3">
        <f>3.95+0.2+0.3</f>
        <v>4.45</v>
      </c>
      <c r="D7" s="3">
        <v>3.1</v>
      </c>
      <c r="E7" s="3">
        <f>C7*D7</f>
        <v>13.795000000000002</v>
      </c>
      <c r="G7">
        <f>G56</f>
        <v>1.7</v>
      </c>
      <c r="H7">
        <v>0.14000000000000001</v>
      </c>
      <c r="I7" s="7">
        <f t="shared" si="0"/>
        <v>0.23800000000000002</v>
      </c>
      <c r="J7" s="7">
        <f t="shared" si="1"/>
        <v>3.2832100000000008</v>
      </c>
      <c r="K7" s="20">
        <f>H56*$E$7</f>
        <v>0</v>
      </c>
      <c r="L7" s="20">
        <f>I56*$E$7</f>
        <v>0</v>
      </c>
    </row>
    <row r="8" spans="1:12" x14ac:dyDescent="0.25">
      <c r="A8">
        <v>5</v>
      </c>
      <c r="B8" s="1" t="s">
        <v>5</v>
      </c>
      <c r="C8" s="3">
        <f>C5</f>
        <v>7.6000000000000005</v>
      </c>
      <c r="D8" s="3">
        <f>C4</f>
        <v>4.45</v>
      </c>
      <c r="E8" s="3">
        <f>C8*D8</f>
        <v>33.82</v>
      </c>
      <c r="G8">
        <f>G52</f>
        <v>0.09</v>
      </c>
      <c r="H8">
        <v>0.83</v>
      </c>
      <c r="I8" s="7">
        <f t="shared" si="0"/>
        <v>7.4699999999999989E-2</v>
      </c>
      <c r="J8" s="7">
        <f t="shared" si="1"/>
        <v>2.5263539999999995</v>
      </c>
      <c r="K8" s="20">
        <f>H52*$E$8</f>
        <v>16233.6</v>
      </c>
      <c r="L8" s="20">
        <f>I52*$E$8</f>
        <v>16910</v>
      </c>
    </row>
    <row r="9" spans="1:12" x14ac:dyDescent="0.25">
      <c r="A9">
        <v>6</v>
      </c>
      <c r="B9" s="1" t="s">
        <v>6</v>
      </c>
      <c r="C9" s="3">
        <f>C8</f>
        <v>7.6000000000000005</v>
      </c>
      <c r="D9" s="3">
        <f>D8</f>
        <v>4.45</v>
      </c>
      <c r="E9" s="3">
        <f>C9*D9</f>
        <v>33.82</v>
      </c>
      <c r="G9">
        <f>G49</f>
        <v>0.12</v>
      </c>
      <c r="H9">
        <v>0.4</v>
      </c>
      <c r="I9" s="7">
        <f t="shared" si="0"/>
        <v>4.8000000000000001E-2</v>
      </c>
      <c r="J9" s="7">
        <f t="shared" si="1"/>
        <v>1.6233600000000001</v>
      </c>
      <c r="K9" s="20">
        <f>H49*$E$9</f>
        <v>28476.44</v>
      </c>
      <c r="L9" s="20">
        <f>I49*$E$9</f>
        <v>9334.32</v>
      </c>
    </row>
    <row r="10" spans="1:12" x14ac:dyDescent="0.25">
      <c r="B10" s="1"/>
      <c r="L10" s="20"/>
    </row>
    <row r="11" spans="1:12" x14ac:dyDescent="0.25">
      <c r="B11" s="2" t="s">
        <v>7</v>
      </c>
      <c r="L11" s="20"/>
    </row>
    <row r="12" spans="1:12" x14ac:dyDescent="0.25">
      <c r="A12">
        <v>7</v>
      </c>
      <c r="B12" s="1" t="s">
        <v>8</v>
      </c>
      <c r="C12" s="3">
        <v>2.65</v>
      </c>
      <c r="D12" s="3">
        <v>2.7</v>
      </c>
      <c r="E12" s="3">
        <f>C12*D12-E13</f>
        <v>5.6550000000000002</v>
      </c>
      <c r="G12">
        <f>$G$47</f>
        <v>0.11</v>
      </c>
      <c r="H12">
        <v>1</v>
      </c>
      <c r="I12" s="7">
        <f t="shared" ref="I12:I26" si="2">G12*H12</f>
        <v>0.11</v>
      </c>
      <c r="J12" s="7">
        <f t="shared" ref="J12:J26" si="3">I12*E12</f>
        <v>0.62204999999999999</v>
      </c>
      <c r="K12" s="20">
        <f>H$47*$E$12</f>
        <v>8267.61</v>
      </c>
      <c r="L12" s="20">
        <f>I$47*$E$12</f>
        <v>4416.5550000000003</v>
      </c>
    </row>
    <row r="13" spans="1:12" s="4" customFormat="1" x14ac:dyDescent="0.25">
      <c r="A13" s="4">
        <v>8</v>
      </c>
      <c r="B13" s="5" t="s">
        <v>9</v>
      </c>
      <c r="C13" s="6">
        <v>0.6</v>
      </c>
      <c r="D13" s="6">
        <v>2.5</v>
      </c>
      <c r="E13" s="6">
        <f>C13*D13</f>
        <v>1.5</v>
      </c>
      <c r="F13" s="18"/>
      <c r="G13">
        <f>$G$48</f>
        <v>0.83</v>
      </c>
      <c r="H13">
        <v>1.1499999999999999</v>
      </c>
      <c r="I13" s="7">
        <f t="shared" si="2"/>
        <v>0.9544999999999999</v>
      </c>
      <c r="J13" s="7">
        <f t="shared" si="3"/>
        <v>1.4317499999999999</v>
      </c>
      <c r="K13" s="22">
        <f>H$48*$E$13</f>
        <v>16757.709251101322</v>
      </c>
      <c r="L13" s="22">
        <f>I$48*$E$13</f>
        <v>0</v>
      </c>
    </row>
    <row r="14" spans="1:12" s="4" customFormat="1" x14ac:dyDescent="0.25">
      <c r="A14" s="4">
        <v>9</v>
      </c>
      <c r="B14" s="5" t="s">
        <v>10</v>
      </c>
      <c r="C14" s="6">
        <v>1.9</v>
      </c>
      <c r="D14" s="6">
        <v>2.5</v>
      </c>
      <c r="E14" s="6">
        <f>C14*D14</f>
        <v>4.75</v>
      </c>
      <c r="F14" s="18"/>
      <c r="G14">
        <f>$G$48</f>
        <v>0.83</v>
      </c>
      <c r="H14">
        <v>1.1499999999999999</v>
      </c>
      <c r="I14" s="7">
        <f t="shared" si="2"/>
        <v>0.9544999999999999</v>
      </c>
      <c r="J14" s="7">
        <f t="shared" si="3"/>
        <v>4.5338749999999992</v>
      </c>
      <c r="K14" s="22">
        <f>H$48*$E$14</f>
        <v>53066.079295154181</v>
      </c>
      <c r="L14" s="22">
        <f>I$48*$E$14</f>
        <v>0</v>
      </c>
    </row>
    <row r="15" spans="1:12" x14ac:dyDescent="0.25">
      <c r="A15">
        <v>10</v>
      </c>
      <c r="B15" s="1" t="s">
        <v>11</v>
      </c>
      <c r="C15" s="3">
        <f>4.4+0.25+0.25</f>
        <v>4.9000000000000004</v>
      </c>
      <c r="D15" s="3">
        <v>2.7</v>
      </c>
      <c r="E15" s="3">
        <f>C15*D15</f>
        <v>13.230000000000002</v>
      </c>
      <c r="G15">
        <f>$G$47</f>
        <v>0.11</v>
      </c>
      <c r="H15">
        <v>1</v>
      </c>
      <c r="I15" s="7">
        <f t="shared" si="2"/>
        <v>0.11</v>
      </c>
      <c r="J15" s="7">
        <f t="shared" si="3"/>
        <v>1.4553000000000003</v>
      </c>
      <c r="K15" s="20">
        <f>H$47*$E$15</f>
        <v>19342.260000000002</v>
      </c>
      <c r="L15" s="20">
        <f>I$47*$E$15</f>
        <v>10332.630000000001</v>
      </c>
    </row>
    <row r="16" spans="1:12" x14ac:dyDescent="0.25">
      <c r="A16">
        <v>11</v>
      </c>
      <c r="B16" s="1" t="s">
        <v>12</v>
      </c>
      <c r="C16" s="3">
        <f>3.3-0.25</f>
        <v>3.05</v>
      </c>
      <c r="D16" s="3">
        <v>2.7</v>
      </c>
      <c r="E16" s="3">
        <f>C16*D16</f>
        <v>8.2349999999999994</v>
      </c>
      <c r="G16">
        <f>$G$47</f>
        <v>0.11</v>
      </c>
      <c r="H16">
        <v>1</v>
      </c>
      <c r="I16" s="7">
        <f t="shared" si="2"/>
        <v>0.11</v>
      </c>
      <c r="J16" s="7">
        <f t="shared" si="3"/>
        <v>0.90584999999999993</v>
      </c>
      <c r="K16" s="20">
        <f>H$47*$E$16</f>
        <v>12039.57</v>
      </c>
      <c r="L16" s="20">
        <f>I$47*$E$16</f>
        <v>6431.5349999999999</v>
      </c>
    </row>
    <row r="17" spans="1:12" s="4" customFormat="1" x14ac:dyDescent="0.25">
      <c r="A17" s="4">
        <v>12</v>
      </c>
      <c r="B17" s="5" t="s">
        <v>13</v>
      </c>
      <c r="C17" s="6">
        <v>1.05</v>
      </c>
      <c r="D17" s="6">
        <v>2.5</v>
      </c>
      <c r="E17" s="6">
        <f>C17*D17</f>
        <v>2.625</v>
      </c>
      <c r="F17" s="18"/>
      <c r="G17">
        <f>$G$48</f>
        <v>0.83</v>
      </c>
      <c r="H17">
        <v>1.1499999999999999</v>
      </c>
      <c r="I17" s="7">
        <f t="shared" si="2"/>
        <v>0.9544999999999999</v>
      </c>
      <c r="J17" s="7">
        <f t="shared" si="3"/>
        <v>2.5055624999999999</v>
      </c>
      <c r="K17" s="22">
        <f>H$48*$E$17</f>
        <v>29325.99118942731</v>
      </c>
      <c r="L17" s="22">
        <f>I$48*$E$17</f>
        <v>0</v>
      </c>
    </row>
    <row r="18" spans="1:12" x14ac:dyDescent="0.25">
      <c r="A18">
        <v>13</v>
      </c>
      <c r="B18" s="1" t="s">
        <v>14</v>
      </c>
      <c r="C18" s="3">
        <v>3.1</v>
      </c>
      <c r="D18" s="3">
        <v>2.7</v>
      </c>
      <c r="E18" s="3">
        <v>0</v>
      </c>
      <c r="G18">
        <f>$G$47</f>
        <v>0.11</v>
      </c>
      <c r="H18">
        <v>1</v>
      </c>
      <c r="I18" s="7">
        <f t="shared" si="2"/>
        <v>0.11</v>
      </c>
      <c r="J18" s="7">
        <f t="shared" si="3"/>
        <v>0</v>
      </c>
      <c r="K18" s="20">
        <f>H$47*$E$18</f>
        <v>0</v>
      </c>
      <c r="L18" s="20">
        <f>I$47*$E$18</f>
        <v>0</v>
      </c>
    </row>
    <row r="19" spans="1:12" s="4" customFormat="1" x14ac:dyDescent="0.25">
      <c r="A19" s="4">
        <v>14</v>
      </c>
      <c r="B19" s="5" t="s">
        <v>15</v>
      </c>
      <c r="C19" s="6">
        <v>1.8</v>
      </c>
      <c r="D19" s="6">
        <v>2.5</v>
      </c>
      <c r="E19" s="6">
        <v>0</v>
      </c>
      <c r="F19" s="18"/>
      <c r="G19">
        <f>$G$48</f>
        <v>0.83</v>
      </c>
      <c r="H19">
        <v>1.1499999999999999</v>
      </c>
      <c r="I19" s="7">
        <f t="shared" si="2"/>
        <v>0.9544999999999999</v>
      </c>
      <c r="J19" s="7">
        <f t="shared" si="3"/>
        <v>0</v>
      </c>
      <c r="K19" s="22">
        <f>H$48*$E$19</f>
        <v>0</v>
      </c>
      <c r="L19" s="22">
        <f>I$48*$E$19</f>
        <v>0</v>
      </c>
    </row>
    <row r="20" spans="1:12" x14ac:dyDescent="0.25">
      <c r="A20">
        <v>15</v>
      </c>
      <c r="B20" s="1" t="s">
        <v>16</v>
      </c>
      <c r="C20" s="3">
        <v>3.1</v>
      </c>
      <c r="D20" s="3">
        <v>2.7</v>
      </c>
      <c r="E20" s="3">
        <v>0</v>
      </c>
      <c r="G20">
        <f>$G$47</f>
        <v>0.11</v>
      </c>
      <c r="H20">
        <v>1</v>
      </c>
      <c r="I20" s="7">
        <f t="shared" si="2"/>
        <v>0.11</v>
      </c>
      <c r="J20" s="7">
        <f t="shared" si="3"/>
        <v>0</v>
      </c>
      <c r="K20" s="20">
        <f>H$47*$E$20</f>
        <v>0</v>
      </c>
      <c r="L20" s="20">
        <f>I$47*$E$20</f>
        <v>0</v>
      </c>
    </row>
    <row r="21" spans="1:12" s="4" customFormat="1" x14ac:dyDescent="0.25">
      <c r="A21" s="4">
        <v>16</v>
      </c>
      <c r="B21" s="5" t="s">
        <v>17</v>
      </c>
      <c r="C21" s="6">
        <v>0.6</v>
      </c>
      <c r="D21" s="6">
        <v>2.5</v>
      </c>
      <c r="E21" s="6">
        <v>0</v>
      </c>
      <c r="F21" s="18"/>
      <c r="G21">
        <f>$G$48</f>
        <v>0.83</v>
      </c>
      <c r="H21">
        <v>1.1499999999999999</v>
      </c>
      <c r="I21" s="7">
        <f t="shared" si="2"/>
        <v>0.9544999999999999</v>
      </c>
      <c r="J21" s="7">
        <f t="shared" si="3"/>
        <v>0</v>
      </c>
      <c r="K21" s="22">
        <f>H$48*$E$21</f>
        <v>0</v>
      </c>
      <c r="L21" s="22">
        <f>I$48*$E$21</f>
        <v>0</v>
      </c>
    </row>
    <row r="22" spans="1:12" x14ac:dyDescent="0.25">
      <c r="A22">
        <v>17</v>
      </c>
      <c r="B22" s="1" t="s">
        <v>34</v>
      </c>
      <c r="C22" s="3">
        <f>11.2-0.15-0.25</f>
        <v>10.799999999999999</v>
      </c>
      <c r="D22" s="3">
        <v>2.7</v>
      </c>
      <c r="E22" s="3">
        <f>C22*D22</f>
        <v>29.16</v>
      </c>
      <c r="G22">
        <f>G59</f>
        <v>0.17</v>
      </c>
      <c r="H22">
        <v>0.56999999999999995</v>
      </c>
      <c r="I22" s="7">
        <f t="shared" si="2"/>
        <v>9.69E-2</v>
      </c>
      <c r="J22" s="7">
        <f t="shared" si="3"/>
        <v>2.8256040000000002</v>
      </c>
      <c r="K22" s="20">
        <f>H59*$E$22</f>
        <v>50942.52</v>
      </c>
      <c r="L22" s="20">
        <f>I59*$E$22</f>
        <v>29801.52</v>
      </c>
    </row>
    <row r="23" spans="1:12" s="4" customFormat="1" x14ac:dyDescent="0.25">
      <c r="A23" s="4">
        <v>18</v>
      </c>
      <c r="B23" s="5" t="s">
        <v>35</v>
      </c>
      <c r="C23" s="6">
        <v>1.9</v>
      </c>
      <c r="D23" s="6">
        <v>2.5</v>
      </c>
      <c r="E23" s="6">
        <v>0</v>
      </c>
      <c r="F23" s="18"/>
      <c r="G23">
        <f>$G$48</f>
        <v>0.83</v>
      </c>
      <c r="H23">
        <v>1.1499999999999999</v>
      </c>
      <c r="I23" s="7">
        <f t="shared" si="2"/>
        <v>0.9544999999999999</v>
      </c>
      <c r="J23" s="7">
        <f t="shared" si="3"/>
        <v>0</v>
      </c>
      <c r="K23" s="22">
        <f>H$48*$E$23</f>
        <v>0</v>
      </c>
      <c r="L23" s="22">
        <f>I$48*$E$23</f>
        <v>0</v>
      </c>
    </row>
    <row r="24" spans="1:12" x14ac:dyDescent="0.25">
      <c r="A24">
        <v>19</v>
      </c>
      <c r="B24" s="1" t="s">
        <v>18</v>
      </c>
      <c r="C24" s="3">
        <f>9.95-0.25</f>
        <v>9.6999999999999993</v>
      </c>
      <c r="D24" s="3">
        <v>2.7</v>
      </c>
      <c r="E24" s="3">
        <f>C24*D24-E23</f>
        <v>26.19</v>
      </c>
      <c r="G24">
        <f>G58</f>
        <v>0.35</v>
      </c>
      <c r="H24">
        <v>0.14000000000000001</v>
      </c>
      <c r="I24" s="7">
        <f t="shared" si="2"/>
        <v>4.9000000000000002E-2</v>
      </c>
      <c r="J24" s="7">
        <f t="shared" si="3"/>
        <v>1.2833100000000002</v>
      </c>
      <c r="K24" s="20">
        <f>H58*$E$24</f>
        <v>24356.7</v>
      </c>
      <c r="L24" s="20">
        <f>I58*$E$24</f>
        <v>20454.39</v>
      </c>
    </row>
    <row r="25" spans="1:12" x14ac:dyDescent="0.25">
      <c r="A25">
        <v>20</v>
      </c>
      <c r="B25" s="1" t="s">
        <v>19</v>
      </c>
      <c r="E25" s="3">
        <f>C22*C15+E26</f>
        <v>90.444999999999993</v>
      </c>
      <c r="G25">
        <f>G49</f>
        <v>0.12</v>
      </c>
      <c r="H25">
        <v>0.4</v>
      </c>
      <c r="I25" s="7">
        <f t="shared" si="2"/>
        <v>4.8000000000000001E-2</v>
      </c>
      <c r="J25" s="7">
        <f t="shared" si="3"/>
        <v>4.3413599999999999</v>
      </c>
      <c r="K25" s="20">
        <f>H49*$E$25</f>
        <v>76154.689999999988</v>
      </c>
      <c r="L25" s="20">
        <f>I49*$E$25</f>
        <v>24962.82</v>
      </c>
    </row>
    <row r="26" spans="1:12" x14ac:dyDescent="0.25">
      <c r="A26">
        <v>21</v>
      </c>
      <c r="B26" s="1" t="s">
        <v>33</v>
      </c>
      <c r="E26" s="3">
        <f>7.9*4.75</f>
        <v>37.524999999999999</v>
      </c>
      <c r="G26">
        <f>G50</f>
        <v>0.09</v>
      </c>
      <c r="H26">
        <v>1</v>
      </c>
      <c r="I26" s="7">
        <f t="shared" si="2"/>
        <v>0.09</v>
      </c>
      <c r="J26" s="7">
        <f t="shared" si="3"/>
        <v>3.3772499999999996</v>
      </c>
      <c r="K26" s="20">
        <f>H50*$E$26</f>
        <v>33134.574999999997</v>
      </c>
      <c r="L26" s="20">
        <f>I50*$E$26</f>
        <v>18762.5</v>
      </c>
    </row>
    <row r="27" spans="1:12" x14ac:dyDescent="0.25">
      <c r="B27" s="1"/>
      <c r="L27" s="20"/>
    </row>
    <row r="28" spans="1:12" x14ac:dyDescent="0.25">
      <c r="B28" s="2" t="s">
        <v>20</v>
      </c>
      <c r="L28" s="20"/>
    </row>
    <row r="29" spans="1:12" x14ac:dyDescent="0.25">
      <c r="A29">
        <v>22</v>
      </c>
      <c r="B29" s="1" t="s">
        <v>21</v>
      </c>
      <c r="C29" s="3">
        <f>4.4+0.25+0.25</f>
        <v>4.9000000000000004</v>
      </c>
      <c r="D29" s="3">
        <v>2.95</v>
      </c>
      <c r="E29" s="3">
        <f>C29*D29</f>
        <v>14.455000000000002</v>
      </c>
      <c r="G29">
        <f>$G$47</f>
        <v>0.11</v>
      </c>
      <c r="H29">
        <v>1</v>
      </c>
      <c r="I29" s="7">
        <f t="shared" ref="I29:I36" si="4">G29*H29</f>
        <v>0.11</v>
      </c>
      <c r="J29" s="7">
        <f t="shared" ref="J29:J36" si="5">I29*E29</f>
        <v>1.5900500000000002</v>
      </c>
      <c r="K29" s="20">
        <f>H$47*$E$29</f>
        <v>21133.210000000003</v>
      </c>
      <c r="L29" s="20">
        <f>I$47*$E$29</f>
        <v>11289.355000000001</v>
      </c>
    </row>
    <row r="30" spans="1:12" x14ac:dyDescent="0.25">
      <c r="A30">
        <v>23</v>
      </c>
      <c r="B30" s="1" t="s">
        <v>22</v>
      </c>
      <c r="C30" s="3">
        <f>4.4+0.25+0.25</f>
        <v>4.9000000000000004</v>
      </c>
      <c r="D30" s="3">
        <v>2.95</v>
      </c>
      <c r="E30" s="3">
        <f>C30*D30</f>
        <v>14.455000000000002</v>
      </c>
      <c r="G30">
        <f>G58</f>
        <v>0.35</v>
      </c>
      <c r="H30">
        <v>0.14000000000000001</v>
      </c>
      <c r="I30" s="7">
        <f t="shared" si="4"/>
        <v>4.9000000000000002E-2</v>
      </c>
      <c r="J30" s="7">
        <f t="shared" si="5"/>
        <v>0.70829500000000012</v>
      </c>
      <c r="K30" s="20">
        <f>H58*$E$30</f>
        <v>13443.150000000001</v>
      </c>
      <c r="L30" s="20">
        <f>I58*$E$30</f>
        <v>11289.355000000001</v>
      </c>
    </row>
    <row r="31" spans="1:12" x14ac:dyDescent="0.25">
      <c r="A31">
        <v>24</v>
      </c>
      <c r="B31" s="1" t="s">
        <v>23</v>
      </c>
      <c r="C31" s="3">
        <f>11.2-0.15-0.25</f>
        <v>10.799999999999999</v>
      </c>
      <c r="D31" s="3">
        <v>2.95</v>
      </c>
      <c r="E31" s="3">
        <f>C31*D31-E32</f>
        <v>22.86</v>
      </c>
      <c r="G31">
        <f>$G$47</f>
        <v>0.11</v>
      </c>
      <c r="H31">
        <v>1</v>
      </c>
      <c r="I31" s="7">
        <f t="shared" si="4"/>
        <v>0.11</v>
      </c>
      <c r="J31" s="7">
        <f t="shared" si="5"/>
        <v>2.5146000000000002</v>
      </c>
      <c r="K31" s="20">
        <f>H$47*$E$31</f>
        <v>33421.32</v>
      </c>
      <c r="L31" s="20">
        <f>I$47*$E$31</f>
        <v>17853.66</v>
      </c>
    </row>
    <row r="32" spans="1:12" s="4" customFormat="1" x14ac:dyDescent="0.25">
      <c r="A32" s="4">
        <v>25</v>
      </c>
      <c r="B32" s="5" t="s">
        <v>24</v>
      </c>
      <c r="C32" s="6">
        <v>3.6</v>
      </c>
      <c r="D32" s="6">
        <v>2.5</v>
      </c>
      <c r="E32" s="6">
        <f>C32*D32</f>
        <v>9</v>
      </c>
      <c r="F32" s="18"/>
      <c r="G32">
        <f>$G$48</f>
        <v>0.83</v>
      </c>
      <c r="H32">
        <v>1.1499999999999999</v>
      </c>
      <c r="I32" s="7">
        <f t="shared" si="4"/>
        <v>0.9544999999999999</v>
      </c>
      <c r="J32" s="7">
        <f t="shared" si="5"/>
        <v>8.5904999999999987</v>
      </c>
      <c r="K32" s="22">
        <f>H$48*$E$32</f>
        <v>100546.25550660792</v>
      </c>
      <c r="L32" s="22">
        <f>I$48*$E$32</f>
        <v>0</v>
      </c>
    </row>
    <row r="33" spans="1:12" x14ac:dyDescent="0.25">
      <c r="A33">
        <v>26</v>
      </c>
      <c r="B33" s="1" t="s">
        <v>25</v>
      </c>
      <c r="C33" s="3">
        <f>11.2-0.15-0.25</f>
        <v>10.799999999999999</v>
      </c>
      <c r="D33" s="3">
        <v>2.95</v>
      </c>
      <c r="E33" s="3">
        <f>C33*D33-E34-E35</f>
        <v>21.36</v>
      </c>
      <c r="G33">
        <f>$G$47</f>
        <v>0.11</v>
      </c>
      <c r="H33">
        <v>1</v>
      </c>
      <c r="I33" s="7">
        <f t="shared" si="4"/>
        <v>0.11</v>
      </c>
      <c r="J33" s="7">
        <f t="shared" si="5"/>
        <v>2.3496000000000001</v>
      </c>
      <c r="K33" s="20">
        <f>H$47*$E$33</f>
        <v>31228.32</v>
      </c>
      <c r="L33" s="20">
        <f>I$47*$E$33</f>
        <v>16682.16</v>
      </c>
    </row>
    <row r="34" spans="1:12" s="4" customFormat="1" x14ac:dyDescent="0.25">
      <c r="A34" s="4">
        <v>27</v>
      </c>
      <c r="B34" s="5" t="s">
        <v>26</v>
      </c>
      <c r="C34" s="6">
        <v>3.6</v>
      </c>
      <c r="D34" s="6">
        <v>2.5</v>
      </c>
      <c r="E34" s="6">
        <f>C34*D34</f>
        <v>9</v>
      </c>
      <c r="F34" s="18"/>
      <c r="G34">
        <f>$G$48</f>
        <v>0.83</v>
      </c>
      <c r="H34">
        <v>1.1499999999999999</v>
      </c>
      <c r="I34" s="7">
        <f t="shared" si="4"/>
        <v>0.9544999999999999</v>
      </c>
      <c r="J34" s="7">
        <f t="shared" si="5"/>
        <v>8.5904999999999987</v>
      </c>
      <c r="K34" s="22">
        <f>H$48*$E$34</f>
        <v>100546.25550660792</v>
      </c>
      <c r="L34" s="22">
        <f>I$48*$E$34</f>
        <v>0</v>
      </c>
    </row>
    <row r="35" spans="1:12" s="4" customFormat="1" x14ac:dyDescent="0.25">
      <c r="A35" s="4">
        <v>28</v>
      </c>
      <c r="B35" s="5" t="s">
        <v>27</v>
      </c>
      <c r="C35" s="6">
        <v>0.6</v>
      </c>
      <c r="D35" s="6">
        <v>2.5</v>
      </c>
      <c r="E35" s="6">
        <f>C35*D35</f>
        <v>1.5</v>
      </c>
      <c r="F35" s="18"/>
      <c r="G35">
        <f>$G$48</f>
        <v>0.83</v>
      </c>
      <c r="H35">
        <v>1.1499999999999999</v>
      </c>
      <c r="I35" s="7">
        <f t="shared" si="4"/>
        <v>0.9544999999999999</v>
      </c>
      <c r="J35" s="7">
        <f t="shared" si="5"/>
        <v>1.4317499999999999</v>
      </c>
      <c r="K35" s="22">
        <f>H$48*$E$35</f>
        <v>16757.709251101322</v>
      </c>
      <c r="L35" s="22">
        <f>I$48*$E$35</f>
        <v>0</v>
      </c>
    </row>
    <row r="36" spans="1:12" x14ac:dyDescent="0.25">
      <c r="A36">
        <v>29</v>
      </c>
      <c r="B36" s="1" t="s">
        <v>28</v>
      </c>
      <c r="C36" s="3">
        <f>C33</f>
        <v>10.799999999999999</v>
      </c>
      <c r="D36" s="3">
        <f>C29</f>
        <v>4.9000000000000004</v>
      </c>
      <c r="E36" s="3">
        <f>C36*D36</f>
        <v>52.92</v>
      </c>
      <c r="G36">
        <f>G51</f>
        <v>7.0000000000000007E-2</v>
      </c>
      <c r="H36">
        <v>1</v>
      </c>
      <c r="I36" s="7">
        <f t="shared" si="4"/>
        <v>7.0000000000000007E-2</v>
      </c>
      <c r="J36" s="7">
        <f t="shared" si="5"/>
        <v>3.7044000000000006</v>
      </c>
      <c r="K36" s="20">
        <f>H51*E$36</f>
        <v>55036.800000000003</v>
      </c>
      <c r="L36" s="20">
        <f>I51*F$36</f>
        <v>0</v>
      </c>
    </row>
    <row r="37" spans="1:12" x14ac:dyDescent="0.25">
      <c r="B37" s="1"/>
      <c r="L37" s="20"/>
    </row>
    <row r="38" spans="1:12" x14ac:dyDescent="0.25">
      <c r="B38" s="2" t="s">
        <v>45</v>
      </c>
      <c r="E38" s="3">
        <f>SUM(E4:E37)</f>
        <v>483.65499999999992</v>
      </c>
      <c r="G38">
        <v>0.1</v>
      </c>
      <c r="H38">
        <v>1</v>
      </c>
      <c r="I38" s="7">
        <f>G38*H38</f>
        <v>0.1</v>
      </c>
      <c r="J38" s="7">
        <f>I38*E38</f>
        <v>48.365499999999997</v>
      </c>
      <c r="L38" s="20"/>
    </row>
    <row r="39" spans="1:12" x14ac:dyDescent="0.25">
      <c r="B39" s="2"/>
      <c r="L39" s="20"/>
    </row>
    <row r="40" spans="1:12" x14ac:dyDescent="0.25">
      <c r="B40" s="8"/>
      <c r="E40" s="24" t="s">
        <v>87</v>
      </c>
      <c r="G40" s="10">
        <f>J40/E38</f>
        <v>0.24603762392614575</v>
      </c>
      <c r="J40" s="9">
        <f>SUM(J4:J38)</f>
        <v>118.997327</v>
      </c>
      <c r="K40" s="21">
        <f>SUM(K4:K38)</f>
        <v>805157.42152396182</v>
      </c>
      <c r="L40" s="21">
        <f>SUM(L4:L38)</f>
        <v>212217.11800000005</v>
      </c>
    </row>
    <row r="41" spans="1:12" x14ac:dyDescent="0.25">
      <c r="B41" s="1"/>
      <c r="K41" s="21" t="s">
        <v>81</v>
      </c>
      <c r="L41" s="16" t="s">
        <v>82</v>
      </c>
    </row>
    <row r="42" spans="1:12" x14ac:dyDescent="0.25">
      <c r="B42" s="1" t="s">
        <v>40</v>
      </c>
      <c r="C42" s="3" t="s">
        <v>41</v>
      </c>
      <c r="D42" s="3">
        <v>20</v>
      </c>
    </row>
    <row r="43" spans="1:12" x14ac:dyDescent="0.25">
      <c r="B43" s="1" t="s">
        <v>42</v>
      </c>
      <c r="C43" s="3" t="s">
        <v>41</v>
      </c>
      <c r="D43" s="3">
        <v>-12</v>
      </c>
      <c r="J43" s="9">
        <f>J40*D44</f>
        <v>3807.914464</v>
      </c>
      <c r="K43" s="20" t="s">
        <v>44</v>
      </c>
    </row>
    <row r="44" spans="1:12" x14ac:dyDescent="0.25">
      <c r="B44" s="1" t="s">
        <v>43</v>
      </c>
      <c r="C44" s="3" t="s">
        <v>41</v>
      </c>
      <c r="D44" s="3">
        <f>D42-D43</f>
        <v>32</v>
      </c>
      <c r="J44" s="14">
        <f>75.3*0.195</f>
        <v>14.6835</v>
      </c>
      <c r="K44" s="20" t="s">
        <v>88</v>
      </c>
    </row>
    <row r="46" spans="1:12" s="11" customFormat="1" x14ac:dyDescent="0.25">
      <c r="B46" s="2" t="s">
        <v>47</v>
      </c>
      <c r="C46" s="13" t="s">
        <v>48</v>
      </c>
      <c r="D46" s="13" t="s">
        <v>49</v>
      </c>
      <c r="E46" s="13"/>
      <c r="F46" s="19"/>
      <c r="G46" s="13" t="s">
        <v>36</v>
      </c>
      <c r="H46" s="13" t="s">
        <v>76</v>
      </c>
      <c r="I46" s="14" t="s">
        <v>77</v>
      </c>
      <c r="J46" s="14"/>
      <c r="K46" s="23"/>
    </row>
    <row r="47" spans="1:12" x14ac:dyDescent="0.25">
      <c r="B47" s="1" t="s">
        <v>46</v>
      </c>
      <c r="C47" s="15" t="s">
        <v>69</v>
      </c>
      <c r="D47" s="15" t="s">
        <v>68</v>
      </c>
      <c r="G47" s="16">
        <v>0.11</v>
      </c>
      <c r="H47" s="21">
        <f>770+692</f>
        <v>1462</v>
      </c>
      <c r="I47" s="20">
        <f>350+131+300</f>
        <v>781</v>
      </c>
      <c r="K47" s="23"/>
    </row>
    <row r="48" spans="1:12" x14ac:dyDescent="0.25">
      <c r="B48" s="1" t="s">
        <v>50</v>
      </c>
      <c r="C48" s="15" t="s">
        <v>61</v>
      </c>
      <c r="D48" s="15"/>
      <c r="G48" s="16">
        <v>0.83</v>
      </c>
      <c r="H48" s="21">
        <f>317000/(E35+E34+E32+E23+E21+E19+E17+E14+E13)</f>
        <v>11171.80616740088</v>
      </c>
      <c r="I48" s="20">
        <f>0</f>
        <v>0</v>
      </c>
    </row>
    <row r="49" spans="2:9" x14ac:dyDescent="0.25">
      <c r="B49" s="1" t="s">
        <v>51</v>
      </c>
      <c r="C49" s="15" t="s">
        <v>64</v>
      </c>
      <c r="D49" s="15" t="s">
        <v>83</v>
      </c>
      <c r="G49" s="16">
        <v>0.12</v>
      </c>
      <c r="H49" s="21">
        <f>2500*0.06+692</f>
        <v>842</v>
      </c>
      <c r="I49" s="20">
        <f>156+82+38</f>
        <v>276</v>
      </c>
    </row>
    <row r="50" spans="2:9" x14ac:dyDescent="0.25">
      <c r="B50" s="1" t="s">
        <v>52</v>
      </c>
      <c r="C50" s="15" t="s">
        <v>75</v>
      </c>
      <c r="D50" s="15" t="s">
        <v>74</v>
      </c>
      <c r="G50" s="16">
        <v>0.09</v>
      </c>
      <c r="H50" s="21">
        <f>540+343</f>
        <v>883</v>
      </c>
      <c r="I50" s="20">
        <f>500</f>
        <v>500</v>
      </c>
    </row>
    <row r="51" spans="2:9" x14ac:dyDescent="0.25">
      <c r="B51" s="1" t="s">
        <v>53</v>
      </c>
      <c r="C51" s="15" t="s">
        <v>75</v>
      </c>
      <c r="D51" s="15" t="s">
        <v>84</v>
      </c>
      <c r="G51" s="16">
        <v>7.0000000000000007E-2</v>
      </c>
      <c r="H51" s="21">
        <f>540+500</f>
        <v>1040</v>
      </c>
      <c r="I51" s="20">
        <f>500</f>
        <v>500</v>
      </c>
    </row>
    <row r="52" spans="2:9" x14ac:dyDescent="0.25">
      <c r="B52" s="1" t="s">
        <v>54</v>
      </c>
      <c r="C52" s="15" t="s">
        <v>72</v>
      </c>
      <c r="D52" s="15"/>
      <c r="G52" s="16">
        <v>0.09</v>
      </c>
      <c r="H52" s="21">
        <v>480</v>
      </c>
      <c r="I52" s="20">
        <f>500</f>
        <v>500</v>
      </c>
    </row>
    <row r="53" spans="2:9" x14ac:dyDescent="0.25">
      <c r="B53" s="1" t="s">
        <v>55</v>
      </c>
      <c r="C53" s="15" t="s">
        <v>66</v>
      </c>
      <c r="D53" s="15" t="s">
        <v>68</v>
      </c>
      <c r="G53" s="16">
        <v>0.11</v>
      </c>
      <c r="H53" s="21">
        <v>692</v>
      </c>
      <c r="I53" s="20">
        <f>131+300</f>
        <v>431</v>
      </c>
    </row>
    <row r="54" spans="2:9" x14ac:dyDescent="0.25">
      <c r="B54" s="1" t="s">
        <v>56</v>
      </c>
      <c r="C54" s="15" t="s">
        <v>65</v>
      </c>
      <c r="D54" s="15" t="s">
        <v>85</v>
      </c>
      <c r="G54" s="16">
        <v>0.2</v>
      </c>
      <c r="H54" s="21">
        <v>568</v>
      </c>
      <c r="I54" s="20">
        <f>131+300</f>
        <v>431</v>
      </c>
    </row>
    <row r="55" spans="2:9" x14ac:dyDescent="0.25">
      <c r="B55" s="1" t="s">
        <v>60</v>
      </c>
      <c r="C55" s="15" t="s">
        <v>61</v>
      </c>
      <c r="D55" s="15"/>
      <c r="G55" s="16">
        <v>0.83</v>
      </c>
      <c r="H55" s="21">
        <v>8102.2364217252398</v>
      </c>
      <c r="I55" s="20">
        <f>0</f>
        <v>0</v>
      </c>
    </row>
    <row r="56" spans="2:9" x14ac:dyDescent="0.25">
      <c r="B56" s="1" t="s">
        <v>57</v>
      </c>
      <c r="C56" s="15" t="s">
        <v>66</v>
      </c>
      <c r="D56" s="15"/>
      <c r="G56" s="16">
        <v>1.7</v>
      </c>
      <c r="H56" s="21">
        <v>0</v>
      </c>
      <c r="I56" s="20">
        <v>0</v>
      </c>
    </row>
    <row r="57" spans="2:9" x14ac:dyDescent="0.25">
      <c r="C57" s="15"/>
      <c r="D57" s="15"/>
      <c r="G57" s="16"/>
      <c r="H57" s="21"/>
      <c r="I57" s="20"/>
    </row>
    <row r="58" spans="2:9" x14ac:dyDescent="0.25">
      <c r="B58" s="1" t="s">
        <v>58</v>
      </c>
      <c r="C58" s="15" t="s">
        <v>69</v>
      </c>
      <c r="D58" s="15" t="s">
        <v>70</v>
      </c>
      <c r="G58" s="16">
        <v>0.35</v>
      </c>
      <c r="H58" s="21">
        <f>770+160</f>
        <v>930</v>
      </c>
      <c r="I58" s="20">
        <f>350+131+300</f>
        <v>781</v>
      </c>
    </row>
    <row r="59" spans="2:9" x14ac:dyDescent="0.25">
      <c r="B59" s="1" t="s">
        <v>59</v>
      </c>
      <c r="C59" s="15" t="s">
        <v>71</v>
      </c>
      <c r="D59" s="15" t="s">
        <v>73</v>
      </c>
      <c r="G59" s="16">
        <v>0.17</v>
      </c>
      <c r="H59" s="21">
        <f>1070+677</f>
        <v>1747</v>
      </c>
      <c r="I59" s="20">
        <f>350+131+300+241</f>
        <v>1022</v>
      </c>
    </row>
    <row r="60" spans="2:9" x14ac:dyDescent="0.25">
      <c r="C60" s="15"/>
      <c r="D60" s="15"/>
      <c r="G60" s="16"/>
      <c r="H60" s="21"/>
      <c r="I60" s="20"/>
    </row>
    <row r="61" spans="2:9" x14ac:dyDescent="0.25">
      <c r="G61" s="16"/>
      <c r="H61" s="16"/>
    </row>
  </sheetData>
  <pageMargins left="0.25" right="0.25" top="0.75" bottom="0.75" header="0.3" footer="0.3"/>
  <pageSetup paperSize="8" scale="8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"/>
  <sheetViews>
    <sheetView tabSelected="1" topLeftCell="A14" zoomScale="90" zoomScaleNormal="90" workbookViewId="0">
      <selection activeCell="J46" sqref="J46"/>
    </sheetView>
  </sheetViews>
  <sheetFormatPr defaultRowHeight="15" x14ac:dyDescent="0.25"/>
  <cols>
    <col min="2" max="2" width="29" customWidth="1"/>
    <col min="3" max="3" width="28.5703125" style="3" customWidth="1"/>
    <col min="4" max="4" width="29.28515625" style="3" customWidth="1"/>
    <col min="5" max="5" width="9.140625" style="3"/>
    <col min="6" max="6" width="0.85546875" style="17" customWidth="1"/>
    <col min="8" max="8" width="14" customWidth="1"/>
    <col min="9" max="9" width="9.140625" style="7"/>
    <col min="10" max="10" width="12.7109375" style="7" bestFit="1" customWidth="1"/>
    <col min="11" max="11" width="12" style="20" customWidth="1"/>
    <col min="12" max="12" width="11" customWidth="1"/>
  </cols>
  <sheetData>
    <row r="1" spans="1:12" x14ac:dyDescent="0.25">
      <c r="A1" s="12" t="s">
        <v>93</v>
      </c>
    </row>
    <row r="2" spans="1:12" x14ac:dyDescent="0.25">
      <c r="A2" t="s">
        <v>89</v>
      </c>
      <c r="B2" s="1"/>
    </row>
    <row r="3" spans="1:12" x14ac:dyDescent="0.25">
      <c r="A3" t="s">
        <v>32</v>
      </c>
      <c r="B3" s="2" t="s">
        <v>0</v>
      </c>
      <c r="C3" s="3" t="s">
        <v>29</v>
      </c>
      <c r="D3" s="3" t="s">
        <v>30</v>
      </c>
      <c r="E3" s="3" t="s">
        <v>1</v>
      </c>
      <c r="G3" s="3" t="s">
        <v>36</v>
      </c>
      <c r="H3" s="3" t="s">
        <v>37</v>
      </c>
      <c r="I3" s="3" t="s">
        <v>38</v>
      </c>
      <c r="J3" s="3" t="s">
        <v>39</v>
      </c>
      <c r="K3" s="21" t="s">
        <v>78</v>
      </c>
      <c r="L3" s="3" t="s">
        <v>79</v>
      </c>
    </row>
    <row r="4" spans="1:12" x14ac:dyDescent="0.25">
      <c r="A4">
        <v>1</v>
      </c>
      <c r="B4" s="1" t="s">
        <v>2</v>
      </c>
      <c r="C4" s="3">
        <f>3.95+0.2+0.3</f>
        <v>4.45</v>
      </c>
      <c r="D4" s="3">
        <v>3.1</v>
      </c>
      <c r="E4" s="3">
        <f>C4*D4</f>
        <v>13.795000000000002</v>
      </c>
      <c r="G4">
        <f>G54</f>
        <v>0.11</v>
      </c>
      <c r="H4">
        <v>1</v>
      </c>
      <c r="I4" s="7">
        <f t="shared" ref="I4:I9" si="0">G4*H4</f>
        <v>0.11</v>
      </c>
      <c r="J4" s="7">
        <f t="shared" ref="J4:J9" si="1">I4*E4</f>
        <v>1.5174500000000002</v>
      </c>
      <c r="K4" s="20">
        <f>H54*$E$4</f>
        <v>9546.1400000000012</v>
      </c>
      <c r="L4" s="20">
        <f>I54*$E$4</f>
        <v>5945.6450000000004</v>
      </c>
    </row>
    <row r="5" spans="1:12" x14ac:dyDescent="0.25">
      <c r="A5">
        <v>2</v>
      </c>
      <c r="B5" s="1" t="s">
        <v>3</v>
      </c>
      <c r="C5" s="3">
        <f>7.3+0.15+0.15</f>
        <v>7.6000000000000005</v>
      </c>
      <c r="D5" s="3">
        <v>3.1</v>
      </c>
      <c r="E5" s="3">
        <f>C5*D5-E6</f>
        <v>17.983000000000004</v>
      </c>
      <c r="G5">
        <f>G55</f>
        <v>0.2</v>
      </c>
      <c r="H5">
        <v>1</v>
      </c>
      <c r="I5" s="7">
        <f t="shared" si="0"/>
        <v>0.2</v>
      </c>
      <c r="J5" s="7">
        <f t="shared" si="1"/>
        <v>3.5966000000000009</v>
      </c>
      <c r="K5" s="20">
        <f>H55*$E$5</f>
        <v>10214.344000000003</v>
      </c>
      <c r="L5" s="20">
        <f>I55*$E$5</f>
        <v>7750.6730000000016</v>
      </c>
    </row>
    <row r="6" spans="1:12" s="4" customFormat="1" x14ac:dyDescent="0.25">
      <c r="A6" s="4">
        <v>3</v>
      </c>
      <c r="B6" s="5" t="s">
        <v>4</v>
      </c>
      <c r="C6" s="6">
        <v>1.65</v>
      </c>
      <c r="D6" s="6">
        <v>1.69</v>
      </c>
      <c r="E6" s="6">
        <f>2*D6*C6</f>
        <v>5.577</v>
      </c>
      <c r="F6" s="18"/>
      <c r="G6">
        <f>G56</f>
        <v>0.83</v>
      </c>
      <c r="H6">
        <v>1.1499999999999999</v>
      </c>
      <c r="I6" s="7">
        <f t="shared" si="0"/>
        <v>0.9544999999999999</v>
      </c>
      <c r="J6" s="7">
        <f t="shared" si="1"/>
        <v>5.3232464999999998</v>
      </c>
      <c r="K6" s="22">
        <f>H56*$E$6</f>
        <v>45186.172523961664</v>
      </c>
      <c r="L6" s="22">
        <f>I56*$E$6</f>
        <v>0</v>
      </c>
    </row>
    <row r="7" spans="1:12" x14ac:dyDescent="0.25">
      <c r="A7">
        <v>4</v>
      </c>
      <c r="B7" s="1" t="s">
        <v>31</v>
      </c>
      <c r="C7" s="3">
        <f>3.95+0.2+0.3</f>
        <v>4.45</v>
      </c>
      <c r="D7" s="3">
        <v>3.1</v>
      </c>
      <c r="E7" s="3">
        <f>C7*D7</f>
        <v>13.795000000000002</v>
      </c>
      <c r="G7">
        <f>G57</f>
        <v>1.7</v>
      </c>
      <c r="H7">
        <v>0.14000000000000001</v>
      </c>
      <c r="I7" s="7">
        <f t="shared" si="0"/>
        <v>0.23800000000000002</v>
      </c>
      <c r="J7" s="7">
        <f t="shared" si="1"/>
        <v>3.2832100000000008</v>
      </c>
      <c r="K7" s="20">
        <f>H57*$E$7</f>
        <v>0</v>
      </c>
      <c r="L7" s="20">
        <f>I57*$E$7</f>
        <v>0</v>
      </c>
    </row>
    <row r="8" spans="1:12" x14ac:dyDescent="0.25">
      <c r="A8">
        <v>5</v>
      </c>
      <c r="B8" s="1" t="s">
        <v>5</v>
      </c>
      <c r="C8" s="3">
        <f>C5</f>
        <v>7.6000000000000005</v>
      </c>
      <c r="D8" s="3">
        <f>C4</f>
        <v>4.45</v>
      </c>
      <c r="E8" s="3">
        <f>C8*D8</f>
        <v>33.82</v>
      </c>
      <c r="G8">
        <f>G53</f>
        <v>0.09</v>
      </c>
      <c r="H8">
        <v>0.83</v>
      </c>
      <c r="I8" s="7">
        <f t="shared" si="0"/>
        <v>7.4699999999999989E-2</v>
      </c>
      <c r="J8" s="7">
        <f t="shared" si="1"/>
        <v>2.5263539999999995</v>
      </c>
      <c r="K8" s="20">
        <f>H53*$E$8</f>
        <v>16233.6</v>
      </c>
      <c r="L8" s="20">
        <f>I53*$E$8</f>
        <v>16910</v>
      </c>
    </row>
    <row r="9" spans="1:12" x14ac:dyDescent="0.25">
      <c r="A9">
        <v>6</v>
      </c>
      <c r="B9" s="1" t="s">
        <v>6</v>
      </c>
      <c r="C9" s="3">
        <f>C8</f>
        <v>7.6000000000000005</v>
      </c>
      <c r="D9" s="3">
        <f>D8</f>
        <v>4.45</v>
      </c>
      <c r="E9" s="3">
        <f>C9*D9</f>
        <v>33.82</v>
      </c>
      <c r="G9">
        <f>G50</f>
        <v>0.12</v>
      </c>
      <c r="H9">
        <v>0.4</v>
      </c>
      <c r="I9" s="7">
        <f t="shared" si="0"/>
        <v>4.8000000000000001E-2</v>
      </c>
      <c r="J9" s="7">
        <f t="shared" si="1"/>
        <v>1.6233600000000001</v>
      </c>
      <c r="K9" s="20">
        <f>H50*$E$9</f>
        <v>28476.44</v>
      </c>
      <c r="L9" s="20">
        <f>I50*$E$9</f>
        <v>9334.32</v>
      </c>
    </row>
    <row r="10" spans="1:12" x14ac:dyDescent="0.25">
      <c r="B10" s="1"/>
      <c r="L10" s="20"/>
    </row>
    <row r="11" spans="1:12" x14ac:dyDescent="0.25">
      <c r="B11" s="2" t="s">
        <v>7</v>
      </c>
      <c r="L11" s="20"/>
    </row>
    <row r="12" spans="1:12" x14ac:dyDescent="0.25">
      <c r="A12">
        <v>7</v>
      </c>
      <c r="B12" s="1" t="s">
        <v>8</v>
      </c>
      <c r="C12" s="3">
        <v>2.65</v>
      </c>
      <c r="D12" s="3">
        <v>2.7</v>
      </c>
      <c r="E12" s="3">
        <f>C12*D12-E13</f>
        <v>5.6550000000000002</v>
      </c>
      <c r="G12">
        <f>$G$48</f>
        <v>0.11</v>
      </c>
      <c r="H12">
        <v>1</v>
      </c>
      <c r="I12" s="7">
        <f t="shared" ref="I12:I26" si="2">G12*H12</f>
        <v>0.11</v>
      </c>
      <c r="J12" s="7">
        <f t="shared" ref="J12:J26" si="3">I12*E12</f>
        <v>0.62204999999999999</v>
      </c>
      <c r="K12" s="20">
        <f>H$48*$E$12</f>
        <v>8267.61</v>
      </c>
      <c r="L12" s="20">
        <f>I$48*$E$12</f>
        <v>4416.5550000000003</v>
      </c>
    </row>
    <row r="13" spans="1:12" s="4" customFormat="1" x14ac:dyDescent="0.25">
      <c r="A13" s="4">
        <v>8</v>
      </c>
      <c r="B13" s="5" t="s">
        <v>9</v>
      </c>
      <c r="C13" s="6">
        <v>0.6</v>
      </c>
      <c r="D13" s="6">
        <v>2.5</v>
      </c>
      <c r="E13" s="6">
        <f>C13*D13</f>
        <v>1.5</v>
      </c>
      <c r="F13" s="18"/>
      <c r="G13">
        <f>$G$49</f>
        <v>0.83</v>
      </c>
      <c r="H13">
        <v>1.1499999999999999</v>
      </c>
      <c r="I13" s="7">
        <f t="shared" si="2"/>
        <v>0.9544999999999999</v>
      </c>
      <c r="J13" s="7">
        <f t="shared" si="3"/>
        <v>1.4317499999999999</v>
      </c>
      <c r="K13" s="22">
        <f>H$49*$E$13</f>
        <v>12153.35463258786</v>
      </c>
      <c r="L13" s="22">
        <f>I$49*$E$13</f>
        <v>0</v>
      </c>
    </row>
    <row r="14" spans="1:12" s="4" customFormat="1" x14ac:dyDescent="0.25">
      <c r="A14" s="4">
        <v>9</v>
      </c>
      <c r="B14" s="5" t="s">
        <v>10</v>
      </c>
      <c r="C14" s="6">
        <v>1.9</v>
      </c>
      <c r="D14" s="6">
        <v>2.5</v>
      </c>
      <c r="E14" s="6">
        <f>C14*D14</f>
        <v>4.75</v>
      </c>
      <c r="F14" s="18"/>
      <c r="G14">
        <f>$G$49</f>
        <v>0.83</v>
      </c>
      <c r="H14">
        <v>1.1499999999999999</v>
      </c>
      <c r="I14" s="7">
        <f t="shared" si="2"/>
        <v>0.9544999999999999</v>
      </c>
      <c r="J14" s="7">
        <f t="shared" si="3"/>
        <v>4.5338749999999992</v>
      </c>
      <c r="K14" s="22">
        <f>H$49*$E$14</f>
        <v>38485.623003194887</v>
      </c>
      <c r="L14" s="22">
        <f>I$49*$E$14</f>
        <v>0</v>
      </c>
    </row>
    <row r="15" spans="1:12" x14ac:dyDescent="0.25">
      <c r="A15">
        <v>10</v>
      </c>
      <c r="B15" s="1" t="s">
        <v>11</v>
      </c>
      <c r="C15" s="3">
        <f>4.4+0.25+0.25</f>
        <v>4.9000000000000004</v>
      </c>
      <c r="D15" s="3">
        <v>2.7</v>
      </c>
      <c r="E15" s="3">
        <f>C15*D15</f>
        <v>13.230000000000002</v>
      </c>
      <c r="G15">
        <f>$G$48</f>
        <v>0.11</v>
      </c>
      <c r="H15">
        <v>1</v>
      </c>
      <c r="I15" s="7">
        <f t="shared" si="2"/>
        <v>0.11</v>
      </c>
      <c r="J15" s="7">
        <f t="shared" si="3"/>
        <v>1.4553000000000003</v>
      </c>
      <c r="K15" s="20">
        <f>H$48*$E$15</f>
        <v>19342.260000000002</v>
      </c>
      <c r="L15" s="20">
        <f>I$48*$E$15</f>
        <v>10332.630000000001</v>
      </c>
    </row>
    <row r="16" spans="1:12" x14ac:dyDescent="0.25">
      <c r="A16">
        <v>11</v>
      </c>
      <c r="B16" s="1" t="s">
        <v>12</v>
      </c>
      <c r="C16" s="3">
        <f>3.3-0.25</f>
        <v>3.05</v>
      </c>
      <c r="D16" s="3">
        <v>2.7</v>
      </c>
      <c r="E16" s="3">
        <f>C16*D16</f>
        <v>8.2349999999999994</v>
      </c>
      <c r="G16">
        <f>$G$48</f>
        <v>0.11</v>
      </c>
      <c r="H16">
        <v>1</v>
      </c>
      <c r="I16" s="7">
        <f t="shared" si="2"/>
        <v>0.11</v>
      </c>
      <c r="J16" s="7">
        <f t="shared" si="3"/>
        <v>0.90584999999999993</v>
      </c>
      <c r="K16" s="20">
        <f>H$48*$E$16</f>
        <v>12039.57</v>
      </c>
      <c r="L16" s="20">
        <f>I$48*$E$16</f>
        <v>6431.5349999999999</v>
      </c>
    </row>
    <row r="17" spans="1:12" s="4" customFormat="1" x14ac:dyDescent="0.25">
      <c r="A17" s="4">
        <v>12</v>
      </c>
      <c r="B17" s="5" t="s">
        <v>13</v>
      </c>
      <c r="C17" s="6">
        <v>1.05</v>
      </c>
      <c r="D17" s="6">
        <v>2.5</v>
      </c>
      <c r="E17" s="6">
        <f>C17*D17</f>
        <v>2.625</v>
      </c>
      <c r="F17" s="18"/>
      <c r="G17">
        <f>$G$49</f>
        <v>0.83</v>
      </c>
      <c r="H17">
        <v>1.1499999999999999</v>
      </c>
      <c r="I17" s="7">
        <f t="shared" si="2"/>
        <v>0.9544999999999999</v>
      </c>
      <c r="J17" s="7">
        <f t="shared" si="3"/>
        <v>2.5055624999999999</v>
      </c>
      <c r="K17" s="22">
        <f>H$49*$E$17</f>
        <v>21268.370607028755</v>
      </c>
      <c r="L17" s="22">
        <f>I$49*$E$17</f>
        <v>0</v>
      </c>
    </row>
    <row r="18" spans="1:12" x14ac:dyDescent="0.25">
      <c r="A18">
        <v>13</v>
      </c>
      <c r="B18" s="1" t="s">
        <v>14</v>
      </c>
      <c r="C18" s="3">
        <v>3.1</v>
      </c>
      <c r="D18" s="3">
        <v>2.7</v>
      </c>
      <c r="E18" s="3">
        <f>C18*D18-E19</f>
        <v>3.870000000000001</v>
      </c>
      <c r="G18">
        <f>$G$48</f>
        <v>0.11</v>
      </c>
      <c r="H18">
        <v>1</v>
      </c>
      <c r="I18" s="7">
        <f t="shared" si="2"/>
        <v>0.11</v>
      </c>
      <c r="J18" s="7">
        <f t="shared" si="3"/>
        <v>0.42570000000000013</v>
      </c>
      <c r="K18" s="20">
        <f>H$48*$E$18</f>
        <v>5657.9400000000014</v>
      </c>
      <c r="L18" s="20">
        <f>I$48*$E$18</f>
        <v>3022.4700000000007</v>
      </c>
    </row>
    <row r="19" spans="1:12" s="4" customFormat="1" x14ac:dyDescent="0.25">
      <c r="A19" s="4">
        <v>14</v>
      </c>
      <c r="B19" s="5" t="s">
        <v>15</v>
      </c>
      <c r="C19" s="6">
        <v>1.8</v>
      </c>
      <c r="D19" s="6">
        <v>2.5</v>
      </c>
      <c r="E19" s="6">
        <f>C19*D19</f>
        <v>4.5</v>
      </c>
      <c r="F19" s="18"/>
      <c r="G19">
        <f>$G$49</f>
        <v>0.83</v>
      </c>
      <c r="H19">
        <v>1.1499999999999999</v>
      </c>
      <c r="I19" s="7">
        <f t="shared" si="2"/>
        <v>0.9544999999999999</v>
      </c>
      <c r="J19" s="7">
        <f t="shared" si="3"/>
        <v>4.2952499999999993</v>
      </c>
      <c r="K19" s="22">
        <f>H$49*$E$19</f>
        <v>36460.063897763583</v>
      </c>
      <c r="L19" s="22">
        <f>I$49*$E$19</f>
        <v>0</v>
      </c>
    </row>
    <row r="20" spans="1:12" x14ac:dyDescent="0.25">
      <c r="A20">
        <v>15</v>
      </c>
      <c r="B20" s="1" t="s">
        <v>16</v>
      </c>
      <c r="C20" s="3">
        <v>3.1</v>
      </c>
      <c r="D20" s="3">
        <v>2.7</v>
      </c>
      <c r="E20" s="3">
        <f>C20*D20-E21</f>
        <v>6.870000000000001</v>
      </c>
      <c r="G20">
        <f>$G$48</f>
        <v>0.11</v>
      </c>
      <c r="H20">
        <v>1</v>
      </c>
      <c r="I20" s="7">
        <f t="shared" si="2"/>
        <v>0.11</v>
      </c>
      <c r="J20" s="7">
        <f t="shared" si="3"/>
        <v>0.75570000000000015</v>
      </c>
      <c r="K20" s="20">
        <f>H$48*$E$20</f>
        <v>10043.940000000002</v>
      </c>
      <c r="L20" s="20">
        <f>I$48*$E$20</f>
        <v>5365.4700000000012</v>
      </c>
    </row>
    <row r="21" spans="1:12" s="4" customFormat="1" x14ac:dyDescent="0.25">
      <c r="A21" s="4">
        <v>16</v>
      </c>
      <c r="B21" s="5" t="s">
        <v>17</v>
      </c>
      <c r="C21" s="6">
        <v>0.6</v>
      </c>
      <c r="D21" s="6">
        <v>2.5</v>
      </c>
      <c r="E21" s="6">
        <f>C21*D21</f>
        <v>1.5</v>
      </c>
      <c r="F21" s="18"/>
      <c r="G21">
        <f>$G$49</f>
        <v>0.83</v>
      </c>
      <c r="H21">
        <v>1.1499999999999999</v>
      </c>
      <c r="I21" s="7">
        <f t="shared" si="2"/>
        <v>0.9544999999999999</v>
      </c>
      <c r="J21" s="7">
        <f t="shared" si="3"/>
        <v>1.4317499999999999</v>
      </c>
      <c r="K21" s="22">
        <f>H$49*$E$21</f>
        <v>12153.35463258786</v>
      </c>
      <c r="L21" s="22">
        <f>I$49*$E$21</f>
        <v>0</v>
      </c>
    </row>
    <row r="22" spans="1:12" x14ac:dyDescent="0.25">
      <c r="A22">
        <v>17</v>
      </c>
      <c r="B22" s="1" t="s">
        <v>34</v>
      </c>
      <c r="C22" s="3">
        <f>11.2-0.15-0.25</f>
        <v>10.799999999999999</v>
      </c>
      <c r="D22" s="3">
        <v>2.7</v>
      </c>
      <c r="E22" s="3">
        <f>C22*D22</f>
        <v>29.16</v>
      </c>
      <c r="G22">
        <f>G60</f>
        <v>0.17</v>
      </c>
      <c r="H22">
        <v>0.56999999999999995</v>
      </c>
      <c r="I22" s="7">
        <f t="shared" si="2"/>
        <v>9.69E-2</v>
      </c>
      <c r="J22" s="7">
        <f t="shared" si="3"/>
        <v>2.8256040000000002</v>
      </c>
      <c r="K22" s="20">
        <f>H60*$E$22</f>
        <v>50942.52</v>
      </c>
      <c r="L22" s="20">
        <f>I60*$E$22</f>
        <v>29801.52</v>
      </c>
    </row>
    <row r="23" spans="1:12" s="4" customFormat="1" x14ac:dyDescent="0.25">
      <c r="A23" s="4">
        <v>18</v>
      </c>
      <c r="B23" s="5" t="s">
        <v>35</v>
      </c>
      <c r="C23" s="6">
        <v>1.9</v>
      </c>
      <c r="D23" s="6">
        <v>2.5</v>
      </c>
      <c r="E23" s="6">
        <f>C23*D23</f>
        <v>4.75</v>
      </c>
      <c r="F23" s="18"/>
      <c r="G23">
        <f>$G$49</f>
        <v>0.83</v>
      </c>
      <c r="H23">
        <v>1.1499999999999999</v>
      </c>
      <c r="I23" s="7">
        <f t="shared" si="2"/>
        <v>0.9544999999999999</v>
      </c>
      <c r="J23" s="7">
        <f t="shared" si="3"/>
        <v>4.5338749999999992</v>
      </c>
      <c r="K23" s="22">
        <f>H$49*$E$23</f>
        <v>38485.623003194887</v>
      </c>
      <c r="L23" s="22">
        <f>I$49*$E$23</f>
        <v>0</v>
      </c>
    </row>
    <row r="24" spans="1:12" x14ac:dyDescent="0.25">
      <c r="A24">
        <v>19</v>
      </c>
      <c r="B24" s="1" t="s">
        <v>18</v>
      </c>
      <c r="C24" s="3">
        <f>9.95-0.25</f>
        <v>9.6999999999999993</v>
      </c>
      <c r="D24" s="3">
        <v>2.7</v>
      </c>
      <c r="E24" s="3">
        <f>C24*D24-E23</f>
        <v>21.44</v>
      </c>
      <c r="G24">
        <f>G59</f>
        <v>0.35</v>
      </c>
      <c r="H24">
        <v>0.14000000000000001</v>
      </c>
      <c r="I24" s="7">
        <f t="shared" si="2"/>
        <v>4.9000000000000002E-2</v>
      </c>
      <c r="J24" s="7">
        <f t="shared" si="3"/>
        <v>1.0505600000000002</v>
      </c>
      <c r="K24" s="20">
        <f>H59*$E$24</f>
        <v>19939.2</v>
      </c>
      <c r="L24" s="20">
        <f>I59*$E$24</f>
        <v>16744.64</v>
      </c>
    </row>
    <row r="25" spans="1:12" x14ac:dyDescent="0.25">
      <c r="A25">
        <v>20</v>
      </c>
      <c r="B25" s="1" t="s">
        <v>19</v>
      </c>
      <c r="E25" s="3">
        <f>C22*C15+E26</f>
        <v>83.314999999999998</v>
      </c>
      <c r="G25">
        <f>G50</f>
        <v>0.12</v>
      </c>
      <c r="H25">
        <v>0.4</v>
      </c>
      <c r="I25" s="7">
        <f t="shared" si="2"/>
        <v>4.8000000000000001E-2</v>
      </c>
      <c r="J25" s="7">
        <f t="shared" si="3"/>
        <v>3.99912</v>
      </c>
      <c r="K25" s="20">
        <f>H50*$E$25</f>
        <v>70151.23</v>
      </c>
      <c r="L25" s="20">
        <f>I50*$E$25</f>
        <v>22994.94</v>
      </c>
    </row>
    <row r="26" spans="1:12" x14ac:dyDescent="0.25">
      <c r="A26">
        <v>21</v>
      </c>
      <c r="B26" s="1" t="s">
        <v>33</v>
      </c>
      <c r="E26" s="3">
        <f>7.9*4.75-3.1*2.3</f>
        <v>30.395</v>
      </c>
      <c r="G26">
        <f>G51</f>
        <v>0.09</v>
      </c>
      <c r="H26">
        <v>1</v>
      </c>
      <c r="I26" s="7">
        <f t="shared" si="2"/>
        <v>0.09</v>
      </c>
      <c r="J26" s="7">
        <f t="shared" si="3"/>
        <v>2.7355499999999999</v>
      </c>
      <c r="K26" s="20">
        <f>H51*$E$26</f>
        <v>26838.785</v>
      </c>
      <c r="L26" s="20">
        <f>I51*$E$26</f>
        <v>15197.5</v>
      </c>
    </row>
    <row r="27" spans="1:12" x14ac:dyDescent="0.25">
      <c r="B27" s="1"/>
      <c r="L27" s="20"/>
    </row>
    <row r="28" spans="1:12" x14ac:dyDescent="0.25">
      <c r="B28" s="2" t="s">
        <v>20</v>
      </c>
      <c r="L28" s="20"/>
    </row>
    <row r="29" spans="1:12" x14ac:dyDescent="0.25">
      <c r="A29">
        <v>22</v>
      </c>
      <c r="B29" s="1" t="s">
        <v>21</v>
      </c>
      <c r="C29" s="3">
        <f>4.4+0.25+0.25</f>
        <v>4.9000000000000004</v>
      </c>
      <c r="D29" s="3">
        <v>2.95</v>
      </c>
      <c r="E29" s="3">
        <f>C29*D29-E37</f>
        <v>12.255000000000003</v>
      </c>
      <c r="G29">
        <f>$G$48</f>
        <v>0.11</v>
      </c>
      <c r="H29">
        <v>1</v>
      </c>
      <c r="I29" s="7">
        <f t="shared" ref="I29:I37" si="4">G29*H29</f>
        <v>0.11</v>
      </c>
      <c r="J29" s="7">
        <f t="shared" ref="J29:J37" si="5">I29*E29</f>
        <v>1.3480500000000002</v>
      </c>
      <c r="K29" s="20">
        <f>H$48*$E$29</f>
        <v>17916.810000000005</v>
      </c>
      <c r="L29" s="20">
        <f>I$48*$E$29</f>
        <v>9571.1550000000025</v>
      </c>
    </row>
    <row r="30" spans="1:12" x14ac:dyDescent="0.25">
      <c r="A30">
        <v>23</v>
      </c>
      <c r="B30" s="1" t="s">
        <v>22</v>
      </c>
      <c r="C30" s="3">
        <f>4.4+0.25+0.25</f>
        <v>4.9000000000000004</v>
      </c>
      <c r="D30" s="3">
        <v>2.95</v>
      </c>
      <c r="E30" s="3">
        <f>C30*D30</f>
        <v>14.455000000000002</v>
      </c>
      <c r="G30">
        <f>G59</f>
        <v>0.35</v>
      </c>
      <c r="H30">
        <v>0.14000000000000001</v>
      </c>
      <c r="I30" s="7">
        <f t="shared" si="4"/>
        <v>4.9000000000000002E-2</v>
      </c>
      <c r="J30" s="7">
        <f t="shared" si="5"/>
        <v>0.70829500000000012</v>
      </c>
      <c r="K30" s="20">
        <f>H59*$E$30</f>
        <v>13443.150000000001</v>
      </c>
      <c r="L30" s="20">
        <f>I59*$E$30</f>
        <v>11289.355000000001</v>
      </c>
    </row>
    <row r="31" spans="1:12" x14ac:dyDescent="0.25">
      <c r="A31">
        <v>24</v>
      </c>
      <c r="B31" s="1" t="s">
        <v>23</v>
      </c>
      <c r="C31" s="3">
        <f>11.2-0.15-0.25</f>
        <v>10.799999999999999</v>
      </c>
      <c r="D31" s="3">
        <v>2.95</v>
      </c>
      <c r="E31" s="3">
        <f>C31*D31-E32</f>
        <v>22.86</v>
      </c>
      <c r="G31">
        <f>$G$48</f>
        <v>0.11</v>
      </c>
      <c r="H31">
        <v>1</v>
      </c>
      <c r="I31" s="7">
        <f t="shared" si="4"/>
        <v>0.11</v>
      </c>
      <c r="J31" s="7">
        <f t="shared" si="5"/>
        <v>2.5146000000000002</v>
      </c>
      <c r="K31" s="20">
        <f>H$48*$E$31</f>
        <v>33421.32</v>
      </c>
      <c r="L31" s="20">
        <f>I$48*$E$31</f>
        <v>17853.66</v>
      </c>
    </row>
    <row r="32" spans="1:12" s="4" customFormat="1" x14ac:dyDescent="0.25">
      <c r="A32" s="4">
        <v>25</v>
      </c>
      <c r="B32" s="5" t="s">
        <v>24</v>
      </c>
      <c r="C32" s="6">
        <v>3.6</v>
      </c>
      <c r="D32" s="6">
        <v>2.5</v>
      </c>
      <c r="E32" s="6">
        <f>C32*D32</f>
        <v>9</v>
      </c>
      <c r="F32" s="18"/>
      <c r="G32">
        <f>$G$49</f>
        <v>0.83</v>
      </c>
      <c r="H32">
        <v>1.1499999999999999</v>
      </c>
      <c r="I32" s="7">
        <f t="shared" si="4"/>
        <v>0.9544999999999999</v>
      </c>
      <c r="J32" s="7">
        <f t="shared" si="5"/>
        <v>8.5904999999999987</v>
      </c>
      <c r="K32" s="22">
        <f>H$49*$E$32</f>
        <v>72920.127795527165</v>
      </c>
      <c r="L32" s="22">
        <f>I$49*$E$32</f>
        <v>0</v>
      </c>
    </row>
    <row r="33" spans="1:12" x14ac:dyDescent="0.25">
      <c r="A33">
        <v>26</v>
      </c>
      <c r="B33" s="1" t="s">
        <v>25</v>
      </c>
      <c r="C33" s="3">
        <f>11.2-0.15-0.25</f>
        <v>10.799999999999999</v>
      </c>
      <c r="D33" s="3">
        <v>2.95</v>
      </c>
      <c r="E33" s="3">
        <f>C33*D33-E34-E35</f>
        <v>21.36</v>
      </c>
      <c r="G33">
        <f>$G$48</f>
        <v>0.11</v>
      </c>
      <c r="H33">
        <v>1</v>
      </c>
      <c r="I33" s="7">
        <f t="shared" si="4"/>
        <v>0.11</v>
      </c>
      <c r="J33" s="7">
        <f t="shared" si="5"/>
        <v>2.3496000000000001</v>
      </c>
      <c r="K33" s="20">
        <f>H$48*$E$33</f>
        <v>31228.32</v>
      </c>
      <c r="L33" s="20">
        <f>I$48*$E$33</f>
        <v>16682.16</v>
      </c>
    </row>
    <row r="34" spans="1:12" s="4" customFormat="1" x14ac:dyDescent="0.25">
      <c r="A34" s="4">
        <v>27</v>
      </c>
      <c r="B34" s="5" t="s">
        <v>26</v>
      </c>
      <c r="C34" s="6">
        <v>3.6</v>
      </c>
      <c r="D34" s="6">
        <v>2.5</v>
      </c>
      <c r="E34" s="6">
        <f>C34*D34</f>
        <v>9</v>
      </c>
      <c r="F34" s="18"/>
      <c r="G34">
        <f>$G$49</f>
        <v>0.83</v>
      </c>
      <c r="H34">
        <v>1.1499999999999999</v>
      </c>
      <c r="I34" s="7">
        <f t="shared" si="4"/>
        <v>0.9544999999999999</v>
      </c>
      <c r="J34" s="7">
        <f t="shared" si="5"/>
        <v>8.5904999999999987</v>
      </c>
      <c r="K34" s="22">
        <f>H$49*$E$34</f>
        <v>72920.127795527165</v>
      </c>
      <c r="L34" s="22">
        <f>I$49*$E$34</f>
        <v>0</v>
      </c>
    </row>
    <row r="35" spans="1:12" s="4" customFormat="1" x14ac:dyDescent="0.25">
      <c r="A35" s="4">
        <v>28</v>
      </c>
      <c r="B35" s="5" t="s">
        <v>27</v>
      </c>
      <c r="C35" s="6">
        <v>0.6</v>
      </c>
      <c r="D35" s="6">
        <v>2.5</v>
      </c>
      <c r="E35" s="6">
        <f>C35*D35</f>
        <v>1.5</v>
      </c>
      <c r="F35" s="18"/>
      <c r="G35">
        <f>$G$49</f>
        <v>0.83</v>
      </c>
      <c r="H35">
        <v>1.1499999999999999</v>
      </c>
      <c r="I35" s="7">
        <f t="shared" si="4"/>
        <v>0.9544999999999999</v>
      </c>
      <c r="J35" s="7">
        <f t="shared" si="5"/>
        <v>1.4317499999999999</v>
      </c>
      <c r="K35" s="22">
        <f>H$49*$E$35</f>
        <v>12153.35463258786</v>
      </c>
      <c r="L35" s="22">
        <f>I$49*$E$35</f>
        <v>0</v>
      </c>
    </row>
    <row r="36" spans="1:12" s="4" customFormat="1" x14ac:dyDescent="0.25">
      <c r="A36">
        <v>29</v>
      </c>
      <c r="B36" s="1" t="s">
        <v>28</v>
      </c>
      <c r="C36" s="3">
        <f>C33</f>
        <v>10.799999999999999</v>
      </c>
      <c r="D36" s="3">
        <f>C29</f>
        <v>4.9000000000000004</v>
      </c>
      <c r="E36" s="3">
        <f>C36*D36</f>
        <v>52.92</v>
      </c>
      <c r="F36" s="17"/>
      <c r="G36">
        <f>G52</f>
        <v>7.0000000000000007E-2</v>
      </c>
      <c r="H36">
        <v>1</v>
      </c>
      <c r="I36" s="7">
        <f>G36*H36</f>
        <v>7.0000000000000007E-2</v>
      </c>
      <c r="J36" s="7">
        <f>I36*E36</f>
        <v>3.7044000000000006</v>
      </c>
      <c r="K36" s="20">
        <f>H52*E$36</f>
        <v>55036.800000000003</v>
      </c>
      <c r="L36" s="20">
        <f>I52*F$36</f>
        <v>0</v>
      </c>
    </row>
    <row r="37" spans="1:12" s="4" customFormat="1" x14ac:dyDescent="0.25">
      <c r="A37" s="4">
        <v>30</v>
      </c>
      <c r="B37" s="5" t="s">
        <v>94</v>
      </c>
      <c r="C37" s="6">
        <v>4.4000000000000004</v>
      </c>
      <c r="D37" s="6">
        <v>0.5</v>
      </c>
      <c r="E37" s="6">
        <f>C37*D37</f>
        <v>2.2000000000000002</v>
      </c>
      <c r="F37" s="18"/>
      <c r="G37">
        <f>$G$49</f>
        <v>0.83</v>
      </c>
      <c r="H37">
        <v>1.1499999999999999</v>
      </c>
      <c r="I37" s="7">
        <f t="shared" ref="I37" si="6">G37*H37</f>
        <v>0.9544999999999999</v>
      </c>
      <c r="J37" s="7">
        <f t="shared" ref="J37" si="7">I37*E37</f>
        <v>2.0998999999999999</v>
      </c>
      <c r="K37" s="22">
        <f>H$49*$E$37</f>
        <v>17824.920127795529</v>
      </c>
      <c r="L37" s="22">
        <f>I$49*$E$37</f>
        <v>0</v>
      </c>
    </row>
    <row r="38" spans="1:12" x14ac:dyDescent="0.25">
      <c r="B38" s="1"/>
      <c r="L38" s="20"/>
    </row>
    <row r="39" spans="1:12" x14ac:dyDescent="0.25">
      <c r="B39" s="2" t="s">
        <v>45</v>
      </c>
      <c r="E39" s="3">
        <f>SUM(E4:E38)</f>
        <v>486.13499999999993</v>
      </c>
      <c r="G39">
        <v>0.1</v>
      </c>
      <c r="H39">
        <v>1</v>
      </c>
      <c r="I39" s="7">
        <f>G39*H39</f>
        <v>0.1</v>
      </c>
      <c r="J39" s="7">
        <f>I39*E39</f>
        <v>48.613499999999995</v>
      </c>
      <c r="L39" s="20"/>
    </row>
    <row r="40" spans="1:12" x14ac:dyDescent="0.25">
      <c r="B40" s="2"/>
      <c r="L40" s="20"/>
    </row>
    <row r="41" spans="1:12" x14ac:dyDescent="0.25">
      <c r="B41" s="8"/>
      <c r="E41" s="24" t="s">
        <v>87</v>
      </c>
      <c r="G41" s="10">
        <f>J41/E39</f>
        <v>0.27014885165643288</v>
      </c>
      <c r="J41" s="9">
        <f>SUM(J4:J39)</f>
        <v>131.32881199999997</v>
      </c>
      <c r="K41" s="21">
        <f>SUM(K4:K39)</f>
        <v>818751.07165175723</v>
      </c>
      <c r="L41" s="21">
        <f>SUM(L4:L39)</f>
        <v>209644.22800000003</v>
      </c>
    </row>
    <row r="42" spans="1:12" x14ac:dyDescent="0.25">
      <c r="B42" s="1"/>
      <c r="K42" s="21" t="s">
        <v>81</v>
      </c>
      <c r="L42" s="16" t="s">
        <v>82</v>
      </c>
    </row>
    <row r="43" spans="1:12" x14ac:dyDescent="0.25">
      <c r="B43" s="1" t="s">
        <v>40</v>
      </c>
      <c r="C43" s="3" t="s">
        <v>41</v>
      </c>
      <c r="D43" s="3">
        <v>20</v>
      </c>
    </row>
    <row r="44" spans="1:12" x14ac:dyDescent="0.25">
      <c r="B44" s="1" t="s">
        <v>42</v>
      </c>
      <c r="C44" s="3" t="s">
        <v>41</v>
      </c>
      <c r="D44" s="3">
        <v>-12</v>
      </c>
      <c r="J44" s="9">
        <f>J41*D45</f>
        <v>4202.5219839999991</v>
      </c>
      <c r="K44" s="20" t="s">
        <v>44</v>
      </c>
    </row>
    <row r="45" spans="1:12" x14ac:dyDescent="0.25">
      <c r="B45" s="1" t="s">
        <v>43</v>
      </c>
      <c r="C45" s="3" t="s">
        <v>41</v>
      </c>
      <c r="D45" s="3">
        <f>D43-D44</f>
        <v>32</v>
      </c>
      <c r="J45" s="14">
        <f>74.94*0.191</f>
        <v>14.31354</v>
      </c>
      <c r="K45" s="20" t="s">
        <v>88</v>
      </c>
    </row>
    <row r="46" spans="1:12" x14ac:dyDescent="0.25">
      <c r="J46" s="7">
        <f>73.79*0.178</f>
        <v>13.13462</v>
      </c>
      <c r="K46" s="20" t="s">
        <v>95</v>
      </c>
    </row>
    <row r="47" spans="1:12" s="11" customFormat="1" x14ac:dyDescent="0.25">
      <c r="B47" s="2" t="s">
        <v>47</v>
      </c>
      <c r="C47" s="13" t="s">
        <v>48</v>
      </c>
      <c r="D47" s="13" t="s">
        <v>49</v>
      </c>
      <c r="E47" s="13"/>
      <c r="F47" s="19"/>
      <c r="G47" s="13" t="s">
        <v>36</v>
      </c>
      <c r="H47" s="13" t="s">
        <v>76</v>
      </c>
      <c r="I47" s="14" t="s">
        <v>77</v>
      </c>
      <c r="J47" s="14"/>
      <c r="K47" s="23"/>
    </row>
    <row r="48" spans="1:12" x14ac:dyDescent="0.25">
      <c r="B48" s="1" t="s">
        <v>46</v>
      </c>
      <c r="C48" s="15" t="s">
        <v>69</v>
      </c>
      <c r="D48" s="15" t="s">
        <v>68</v>
      </c>
      <c r="G48" s="16">
        <v>0.11</v>
      </c>
      <c r="H48" s="21">
        <f>770+692</f>
        <v>1462</v>
      </c>
      <c r="I48" s="20">
        <f>350+131+300</f>
        <v>781</v>
      </c>
      <c r="K48" s="23"/>
    </row>
    <row r="49" spans="1:12" x14ac:dyDescent="0.25">
      <c r="B49" s="1" t="s">
        <v>50</v>
      </c>
      <c r="C49" s="15" t="s">
        <v>61</v>
      </c>
      <c r="D49" s="15"/>
      <c r="G49" s="16">
        <v>0.83</v>
      </c>
      <c r="H49" s="21">
        <f>317000/(E35+E34+E32+E23+E21+E19+E17+E14+E13)</f>
        <v>8102.2364217252398</v>
      </c>
      <c r="I49" s="20">
        <f>0</f>
        <v>0</v>
      </c>
    </row>
    <row r="50" spans="1:12" s="7" customFormat="1" x14ac:dyDescent="0.25">
      <c r="A50"/>
      <c r="B50" s="1" t="s">
        <v>51</v>
      </c>
      <c r="C50" s="15" t="s">
        <v>64</v>
      </c>
      <c r="D50" s="15" t="s">
        <v>83</v>
      </c>
      <c r="E50" s="3"/>
      <c r="F50" s="17"/>
      <c r="G50" s="16">
        <v>0.12</v>
      </c>
      <c r="H50" s="21">
        <f>2500*0.06+692</f>
        <v>842</v>
      </c>
      <c r="I50" s="20">
        <f>156+82+38</f>
        <v>276</v>
      </c>
      <c r="K50" s="20"/>
      <c r="L50"/>
    </row>
    <row r="51" spans="1:12" s="7" customFormat="1" x14ac:dyDescent="0.25">
      <c r="A51"/>
      <c r="B51" s="1" t="s">
        <v>52</v>
      </c>
      <c r="C51" s="15" t="s">
        <v>75</v>
      </c>
      <c r="D51" s="15" t="s">
        <v>74</v>
      </c>
      <c r="E51" s="3"/>
      <c r="F51" s="17"/>
      <c r="G51" s="16">
        <v>0.09</v>
      </c>
      <c r="H51" s="21">
        <f>540+343</f>
        <v>883</v>
      </c>
      <c r="I51" s="20">
        <f>500</f>
        <v>500</v>
      </c>
      <c r="K51" s="20"/>
      <c r="L51"/>
    </row>
    <row r="52" spans="1:12" s="7" customFormat="1" x14ac:dyDescent="0.25">
      <c r="A52"/>
      <c r="B52" s="1" t="s">
        <v>53</v>
      </c>
      <c r="C52" s="15" t="s">
        <v>75</v>
      </c>
      <c r="D52" s="15" t="s">
        <v>84</v>
      </c>
      <c r="E52" s="3"/>
      <c r="F52" s="17"/>
      <c r="G52" s="16">
        <v>7.0000000000000007E-2</v>
      </c>
      <c r="H52" s="21">
        <f>540+500</f>
        <v>1040</v>
      </c>
      <c r="I52" s="20">
        <f>500</f>
        <v>500</v>
      </c>
      <c r="K52" s="20"/>
      <c r="L52"/>
    </row>
    <row r="53" spans="1:12" s="7" customFormat="1" x14ac:dyDescent="0.25">
      <c r="A53"/>
      <c r="B53" s="1" t="s">
        <v>54</v>
      </c>
      <c r="C53" s="15" t="s">
        <v>72</v>
      </c>
      <c r="D53" s="15"/>
      <c r="E53" s="3"/>
      <c r="F53" s="17"/>
      <c r="G53" s="16">
        <v>0.09</v>
      </c>
      <c r="H53" s="21">
        <v>480</v>
      </c>
      <c r="I53" s="20">
        <f>500</f>
        <v>500</v>
      </c>
      <c r="K53" s="20"/>
      <c r="L53"/>
    </row>
    <row r="54" spans="1:12" s="7" customFormat="1" x14ac:dyDescent="0.25">
      <c r="A54"/>
      <c r="B54" s="1" t="s">
        <v>55</v>
      </c>
      <c r="C54" s="15" t="s">
        <v>66</v>
      </c>
      <c r="D54" s="15" t="s">
        <v>68</v>
      </c>
      <c r="E54" s="3"/>
      <c r="F54" s="17"/>
      <c r="G54" s="16">
        <v>0.11</v>
      </c>
      <c r="H54" s="21">
        <v>692</v>
      </c>
      <c r="I54" s="20">
        <f>131+300</f>
        <v>431</v>
      </c>
      <c r="K54" s="20"/>
      <c r="L54"/>
    </row>
    <row r="55" spans="1:12" s="7" customFormat="1" x14ac:dyDescent="0.25">
      <c r="A55"/>
      <c r="B55" s="1" t="s">
        <v>56</v>
      </c>
      <c r="C55" s="15" t="s">
        <v>65</v>
      </c>
      <c r="D55" s="15" t="s">
        <v>85</v>
      </c>
      <c r="E55" s="3"/>
      <c r="F55" s="17"/>
      <c r="G55" s="16">
        <v>0.2</v>
      </c>
      <c r="H55" s="21">
        <v>568</v>
      </c>
      <c r="I55" s="20">
        <f>131+300</f>
        <v>431</v>
      </c>
      <c r="K55" s="20"/>
      <c r="L55"/>
    </row>
    <row r="56" spans="1:12" s="7" customFormat="1" x14ac:dyDescent="0.25">
      <c r="A56"/>
      <c r="B56" s="1" t="s">
        <v>60</v>
      </c>
      <c r="C56" s="15" t="s">
        <v>61</v>
      </c>
      <c r="D56" s="15"/>
      <c r="E56" s="3"/>
      <c r="F56" s="17"/>
      <c r="G56" s="16">
        <v>0.83</v>
      </c>
      <c r="H56" s="21">
        <v>8102.2364217252398</v>
      </c>
      <c r="I56" s="20">
        <f>0</f>
        <v>0</v>
      </c>
      <c r="K56" s="20"/>
      <c r="L56"/>
    </row>
    <row r="57" spans="1:12" s="7" customFormat="1" x14ac:dyDescent="0.25">
      <c r="A57"/>
      <c r="B57" s="1" t="s">
        <v>57</v>
      </c>
      <c r="C57" s="15" t="s">
        <v>66</v>
      </c>
      <c r="D57" s="15"/>
      <c r="E57" s="3"/>
      <c r="F57" s="17"/>
      <c r="G57" s="16">
        <v>1.7</v>
      </c>
      <c r="H57" s="21">
        <v>0</v>
      </c>
      <c r="I57" s="20">
        <v>0</v>
      </c>
      <c r="K57" s="20"/>
      <c r="L57"/>
    </row>
    <row r="58" spans="1:12" s="7" customFormat="1" x14ac:dyDescent="0.25">
      <c r="A58"/>
      <c r="B58"/>
      <c r="C58" s="15"/>
      <c r="D58" s="15"/>
      <c r="E58" s="3"/>
      <c r="F58" s="17"/>
      <c r="G58" s="16"/>
      <c r="H58" s="21"/>
      <c r="I58" s="20"/>
      <c r="K58" s="20"/>
      <c r="L58"/>
    </row>
    <row r="59" spans="1:12" s="7" customFormat="1" x14ac:dyDescent="0.25">
      <c r="A59"/>
      <c r="B59" s="1" t="s">
        <v>58</v>
      </c>
      <c r="C59" s="15" t="s">
        <v>69</v>
      </c>
      <c r="D59" s="15" t="s">
        <v>70</v>
      </c>
      <c r="E59" s="3"/>
      <c r="F59" s="17"/>
      <c r="G59" s="16">
        <v>0.35</v>
      </c>
      <c r="H59" s="21">
        <f>770+160</f>
        <v>930</v>
      </c>
      <c r="I59" s="20">
        <f>350+131+300</f>
        <v>781</v>
      </c>
      <c r="K59" s="20"/>
      <c r="L59"/>
    </row>
    <row r="60" spans="1:12" s="7" customFormat="1" x14ac:dyDescent="0.25">
      <c r="A60"/>
      <c r="B60" s="1" t="s">
        <v>59</v>
      </c>
      <c r="C60" s="15" t="s">
        <v>71</v>
      </c>
      <c r="D60" s="15" t="s">
        <v>73</v>
      </c>
      <c r="E60" s="3"/>
      <c r="F60" s="17"/>
      <c r="G60" s="16">
        <v>0.17</v>
      </c>
      <c r="H60" s="21">
        <f>1070+677</f>
        <v>1747</v>
      </c>
      <c r="I60" s="20">
        <f>350+131+300+241</f>
        <v>1022</v>
      </c>
      <c r="K60" s="20"/>
      <c r="L60"/>
    </row>
    <row r="61" spans="1:12" s="7" customFormat="1" x14ac:dyDescent="0.25">
      <c r="A61"/>
      <c r="B61"/>
      <c r="C61" s="15"/>
      <c r="D61" s="15"/>
      <c r="E61" s="3"/>
      <c r="F61" s="17"/>
      <c r="G61" s="16"/>
      <c r="H61" s="21"/>
      <c r="I61" s="20"/>
      <c r="K61" s="20"/>
      <c r="L61"/>
    </row>
    <row r="62" spans="1:12" s="7" customFormat="1" x14ac:dyDescent="0.25">
      <c r="A62"/>
      <c r="B62"/>
      <c r="C62" s="3"/>
      <c r="D62" s="3"/>
      <c r="E62" s="3"/>
      <c r="F62" s="17"/>
      <c r="G62" s="16"/>
      <c r="H62" s="16"/>
      <c r="K62" s="20"/>
      <c r="L62"/>
    </row>
  </sheetData>
  <pageMargins left="0.25" right="0.25" top="0.75" bottom="0.75" header="0.3" footer="0.3"/>
  <pageSetup paperSize="8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01Baseline</vt:lpstr>
      <vt:lpstr>02Optimalizace</vt:lpstr>
      <vt:lpstr>03Optimalizace</vt:lpstr>
      <vt:lpstr>04Optimalizace</vt:lpstr>
      <vt:lpstr>05Optimalizace</vt:lpstr>
      <vt:lpstr>Sheet2</vt:lpstr>
      <vt:lpstr>Sheet3</vt:lpstr>
      <vt:lpstr>'01Baseline'!Print_Area</vt:lpstr>
      <vt:lpstr>'02Optimalizace'!Print_Area</vt:lpstr>
      <vt:lpstr>'03Optimalizace'!Print_Area</vt:lpstr>
      <vt:lpstr>'04Optimalizace'!Print_Area</vt:lpstr>
      <vt:lpstr>'05Optimalizace'!Print_Area</vt:lpstr>
    </vt:vector>
  </TitlesOfParts>
  <Company>Vysoké učení technické v Brně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Dvořák</dc:creator>
  <cp:lastModifiedBy>ptr</cp:lastModifiedBy>
  <cp:lastPrinted>2014-01-15T00:00:45Z</cp:lastPrinted>
  <dcterms:created xsi:type="dcterms:W3CDTF">2014-01-14T20:55:38Z</dcterms:created>
  <dcterms:modified xsi:type="dcterms:W3CDTF">2014-02-01T23:52:26Z</dcterms:modified>
</cp:coreProperties>
</file>